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3.xml" ContentType="application/vnd.openxmlformats-officedocument.drawing+xml"/>
  <Override PartName="/xl/charts/chart10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12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13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14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15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16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codeName="ThisWorkbook"/>
  <mc:AlternateContent xmlns:mc="http://schemas.openxmlformats.org/markup-compatibility/2006">
    <mc:Choice Requires="x15">
      <x15ac:absPath xmlns:x15ac="http://schemas.microsoft.com/office/spreadsheetml/2010/11/ac" url="D:\PHD\PhD_Thesis Chapters\Guyana_Mangrove_Data_Paper\ESSD_Submission\Dataset\Soil Properties\"/>
    </mc:Choice>
  </mc:AlternateContent>
  <xr:revisionPtr revIDLastSave="0" documentId="13_ncr:1_{EDA1E760-8B1E-4F36-85F8-B470E7220BDF}" xr6:coauthVersionLast="36" xr6:coauthVersionMax="36" xr10:uidLastSave="{00000000-0000-0000-0000-000000000000}"/>
  <bookViews>
    <workbookView xWindow="0" yWindow="0" windowWidth="23040" windowHeight="8016" firstSheet="5" activeTab="10" xr2:uid="{00000000-000D-0000-FFFF-FFFF00000000}"/>
  </bookViews>
  <sheets>
    <sheet name="Summary" sheetId="27" r:id="rId1"/>
    <sheet name="Summary Chart" sheetId="30" r:id="rId2"/>
    <sheet name="Gravemetric Moisture Content" sheetId="1" r:id="rId3"/>
    <sheet name="Gravemetric Moisture Cont. (2)" sheetId="29" r:id="rId4"/>
    <sheet name="Clay or Silt Content" sheetId="28" r:id="rId5"/>
    <sheet name="Specific Gravity Tests" sheetId="2" r:id="rId6"/>
    <sheet name="Organic Content" sheetId="3" r:id="rId7"/>
    <sheet name="Dry Density" sheetId="4" r:id="rId8"/>
    <sheet name="Bulk Density" sheetId="5" r:id="rId9"/>
    <sheet name="Slump" sheetId="6" r:id="rId10"/>
    <sheet name="Atterberg Limits" sheetId="7" r:id="rId11"/>
    <sheet name="Sieve Analysis" sheetId="8" r:id="rId12"/>
    <sheet name="Hydrometer Analysis_MB1" sheetId="10" r:id="rId13"/>
    <sheet name="Hydrometer Analysis_MB2" sheetId="13" r:id="rId14"/>
    <sheet name="Hydrometer Analysis_MB3" sheetId="15" r:id="rId15"/>
    <sheet name="Hydrometer Analysis_MB4" sheetId="17" r:id="rId16"/>
    <sheet name="Hydrometer Analysis_MB5" sheetId="19" r:id="rId17"/>
    <sheet name="Hydrometer Analysis_MB6" sheetId="21" r:id="rId18"/>
    <sheet name="Hydrometer Analysis_MB7" sheetId="23" r:id="rId19"/>
    <sheet name="Hydrometer Analysis_MB8" sheetId="25" r:id="rId20"/>
  </sheets>
  <definedNames>
    <definedName name="_xlnm.Print_Area" localSheetId="12">'Hydrometer Analysis_MB1'!$A$1:$J$68</definedName>
    <definedName name="_xlnm.Print_Area" localSheetId="13">'Hydrometer Analysis_MB2'!$A$1:$J$68</definedName>
    <definedName name="_xlnm.Print_Area" localSheetId="14">'Hydrometer Analysis_MB3'!$A$1:$J$68</definedName>
    <definedName name="_xlnm.Print_Area" localSheetId="15">'Hydrometer Analysis_MB4'!$A$1:$J$68</definedName>
    <definedName name="_xlnm.Print_Area" localSheetId="16">'Hydrometer Analysis_MB5'!$A$1:$J$68</definedName>
    <definedName name="_xlnm.Print_Area" localSheetId="17">'Hydrometer Analysis_MB6'!$A$1:$J$68</definedName>
    <definedName name="_xlnm.Print_Area" localSheetId="18">'Hydrometer Analysis_MB7'!$A$1:$J$68</definedName>
    <definedName name="_xlnm.Print_Area" localSheetId="19">'Hydrometer Analysis_MB8'!$A$1:$J$68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27" l="1"/>
  <c r="D11" i="27"/>
  <c r="D10" i="27"/>
  <c r="D9" i="27"/>
  <c r="D8" i="27"/>
  <c r="D7" i="27"/>
  <c r="D6" i="27"/>
  <c r="D5" i="27"/>
  <c r="D13" i="27" s="1"/>
  <c r="E5" i="27"/>
  <c r="F5" i="27"/>
  <c r="G5" i="27"/>
  <c r="H5" i="27"/>
  <c r="I5" i="27"/>
  <c r="J5" i="27"/>
  <c r="K5" i="27"/>
  <c r="E6" i="27"/>
  <c r="F6" i="27"/>
  <c r="G6" i="27"/>
  <c r="H6" i="27"/>
  <c r="I6" i="27"/>
  <c r="J6" i="27"/>
  <c r="K6" i="27"/>
  <c r="E7" i="27"/>
  <c r="F7" i="27"/>
  <c r="G7" i="27"/>
  <c r="H7" i="27"/>
  <c r="I7" i="27"/>
  <c r="J7" i="27"/>
  <c r="K7" i="27"/>
  <c r="E8" i="27"/>
  <c r="F8" i="27"/>
  <c r="G8" i="27"/>
  <c r="G13" i="27" s="1"/>
  <c r="H8" i="27"/>
  <c r="I8" i="27"/>
  <c r="J8" i="27"/>
  <c r="K8" i="27"/>
  <c r="K13" i="27" s="1"/>
  <c r="E9" i="27"/>
  <c r="F9" i="27"/>
  <c r="G9" i="27"/>
  <c r="H9" i="27"/>
  <c r="I9" i="27"/>
  <c r="J9" i="27"/>
  <c r="K9" i="27"/>
  <c r="E10" i="27"/>
  <c r="F10" i="27"/>
  <c r="G10" i="27"/>
  <c r="H10" i="27"/>
  <c r="I10" i="27"/>
  <c r="J10" i="27"/>
  <c r="K10" i="27"/>
  <c r="E11" i="27"/>
  <c r="F11" i="27"/>
  <c r="G11" i="27"/>
  <c r="H11" i="27"/>
  <c r="I11" i="27"/>
  <c r="J11" i="27"/>
  <c r="K11" i="27"/>
  <c r="E12" i="27"/>
  <c r="F12" i="27"/>
  <c r="G12" i="27"/>
  <c r="H12" i="27"/>
  <c r="I12" i="27"/>
  <c r="J12" i="27"/>
  <c r="K12" i="27"/>
  <c r="L13" i="27"/>
  <c r="B15" i="29"/>
  <c r="B77" i="1"/>
  <c r="F13" i="27" l="1"/>
  <c r="I13" i="27"/>
  <c r="E13" i="27"/>
  <c r="H13" i="27"/>
  <c r="J13" i="27"/>
  <c r="O8" i="27" l="1"/>
  <c r="O9" i="27"/>
  <c r="O10" i="27"/>
  <c r="O11" i="27"/>
  <c r="O12" i="27"/>
  <c r="O7" i="27"/>
  <c r="O6" i="27"/>
  <c r="O5" i="27"/>
  <c r="O13" i="27" l="1"/>
  <c r="C19" i="5"/>
  <c r="C20" i="5" s="1"/>
  <c r="C35" i="5"/>
  <c r="C36" i="5" s="1"/>
  <c r="C51" i="5"/>
  <c r="C52" i="5" s="1"/>
  <c r="C67" i="5"/>
  <c r="C68" i="5" s="1"/>
  <c r="C83" i="5"/>
  <c r="C84" i="5" s="1"/>
  <c r="C99" i="5"/>
  <c r="C100" i="5" s="1"/>
  <c r="C132" i="5"/>
  <c r="C131" i="5"/>
  <c r="C115" i="5"/>
  <c r="C179" i="4"/>
  <c r="C157" i="4"/>
  <c r="C135" i="4"/>
  <c r="C113" i="4"/>
  <c r="C91" i="4"/>
  <c r="C69" i="4"/>
  <c r="C47" i="4"/>
  <c r="C25" i="4"/>
  <c r="B67" i="5"/>
  <c r="B19" i="5"/>
  <c r="B25" i="4"/>
  <c r="B22" i="4"/>
  <c r="B131" i="5"/>
  <c r="B13" i="5"/>
  <c r="B18" i="5"/>
  <c r="B13" i="1"/>
  <c r="B15" i="3" l="1"/>
  <c r="E101" i="29"/>
  <c r="D101" i="29"/>
  <c r="C101" i="29"/>
  <c r="B101" i="29"/>
  <c r="E89" i="29"/>
  <c r="D89" i="29"/>
  <c r="C89" i="29"/>
  <c r="B89" i="29"/>
  <c r="E77" i="29"/>
  <c r="D77" i="29"/>
  <c r="C77" i="29"/>
  <c r="B77" i="29"/>
  <c r="E64" i="29"/>
  <c r="D64" i="29"/>
  <c r="C64" i="29"/>
  <c r="B64" i="29"/>
  <c r="E52" i="29"/>
  <c r="D52" i="29"/>
  <c r="C52" i="29"/>
  <c r="B52" i="29"/>
  <c r="E40" i="29"/>
  <c r="D40" i="29"/>
  <c r="C40" i="29"/>
  <c r="B40" i="29"/>
  <c r="C27" i="29"/>
  <c r="B27" i="29"/>
  <c r="B15" i="1"/>
  <c r="C15" i="29"/>
  <c r="E100" i="29"/>
  <c r="D100" i="29"/>
  <c r="C100" i="29"/>
  <c r="B100" i="29"/>
  <c r="E99" i="29"/>
  <c r="D99" i="29"/>
  <c r="C99" i="29"/>
  <c r="B99" i="29"/>
  <c r="E88" i="29"/>
  <c r="D88" i="29"/>
  <c r="C88" i="29"/>
  <c r="B88" i="29"/>
  <c r="E87" i="29"/>
  <c r="D87" i="29"/>
  <c r="C87" i="29"/>
  <c r="B87" i="29"/>
  <c r="E76" i="29"/>
  <c r="D76" i="29"/>
  <c r="C76" i="29"/>
  <c r="B76" i="29"/>
  <c r="E75" i="29"/>
  <c r="D75" i="29"/>
  <c r="C75" i="29"/>
  <c r="B75" i="29"/>
  <c r="G70" i="29" s="1"/>
  <c r="E63" i="29"/>
  <c r="D63" i="29"/>
  <c r="C63" i="29"/>
  <c r="B63" i="29"/>
  <c r="E62" i="29"/>
  <c r="D62" i="29"/>
  <c r="C62" i="29"/>
  <c r="B62" i="29"/>
  <c r="G57" i="29" s="1"/>
  <c r="E51" i="29"/>
  <c r="D51" i="29"/>
  <c r="C51" i="29"/>
  <c r="B51" i="29"/>
  <c r="E50" i="29"/>
  <c r="D50" i="29"/>
  <c r="C50" i="29"/>
  <c r="B50" i="29"/>
  <c r="G45" i="29" s="1"/>
  <c r="E39" i="29"/>
  <c r="D39" i="29"/>
  <c r="C39" i="29"/>
  <c r="B39" i="29"/>
  <c r="E38" i="29"/>
  <c r="D38" i="29"/>
  <c r="C38" i="29"/>
  <c r="B38" i="29"/>
  <c r="G33" i="29" s="1"/>
  <c r="C26" i="29"/>
  <c r="B26" i="29"/>
  <c r="C25" i="29"/>
  <c r="B25" i="29"/>
  <c r="G22" i="29" s="1"/>
  <c r="C14" i="29"/>
  <c r="E15" i="29" s="1"/>
  <c r="B14" i="29"/>
  <c r="D15" i="29" s="1"/>
  <c r="G15" i="29" s="1"/>
  <c r="C13" i="29"/>
  <c r="B13" i="29"/>
  <c r="G10" i="29" s="1"/>
  <c r="N8" i="27"/>
  <c r="N9" i="27"/>
  <c r="N10" i="27"/>
  <c r="N11" i="27"/>
  <c r="N12" i="27"/>
  <c r="N7" i="27"/>
  <c r="N6" i="27"/>
  <c r="N5" i="27"/>
  <c r="B77" i="28"/>
  <c r="G101" i="28"/>
  <c r="L101" i="28"/>
  <c r="K101" i="28"/>
  <c r="J101" i="28"/>
  <c r="I101" i="28"/>
  <c r="G89" i="28"/>
  <c r="L89" i="28"/>
  <c r="K89" i="28"/>
  <c r="J89" i="28"/>
  <c r="I89" i="28"/>
  <c r="G77" i="28"/>
  <c r="L77" i="28"/>
  <c r="K77" i="28"/>
  <c r="J77" i="28"/>
  <c r="I77" i="28"/>
  <c r="G64" i="28"/>
  <c r="L64" i="28"/>
  <c r="K64" i="28"/>
  <c r="J64" i="28"/>
  <c r="I64" i="28"/>
  <c r="G52" i="28"/>
  <c r="L52" i="28"/>
  <c r="K52" i="28"/>
  <c r="J52" i="28"/>
  <c r="I52" i="28"/>
  <c r="G40" i="28"/>
  <c r="J40" i="28"/>
  <c r="K40" i="28"/>
  <c r="L40" i="28"/>
  <c r="I40" i="28"/>
  <c r="D27" i="28"/>
  <c r="G27" i="28"/>
  <c r="E27" i="28"/>
  <c r="G10" i="28"/>
  <c r="E100" i="28"/>
  <c r="D100" i="28"/>
  <c r="C100" i="28"/>
  <c r="B100" i="28"/>
  <c r="E99" i="28"/>
  <c r="E101" i="28" s="1"/>
  <c r="D99" i="28"/>
  <c r="D101" i="28" s="1"/>
  <c r="C99" i="28"/>
  <c r="C101" i="28" s="1"/>
  <c r="B99" i="28"/>
  <c r="B101" i="28" s="1"/>
  <c r="G94" i="28" s="1"/>
  <c r="E88" i="28"/>
  <c r="D88" i="28"/>
  <c r="C88" i="28"/>
  <c r="B88" i="28"/>
  <c r="E87" i="28"/>
  <c r="E89" i="28" s="1"/>
  <c r="D87" i="28"/>
  <c r="D89" i="28" s="1"/>
  <c r="C87" i="28"/>
  <c r="C89" i="28" s="1"/>
  <c r="B87" i="28"/>
  <c r="B89" i="28" s="1"/>
  <c r="G82" i="28" s="1"/>
  <c r="E76" i="28"/>
  <c r="D76" i="28"/>
  <c r="C76" i="28"/>
  <c r="B76" i="28"/>
  <c r="E75" i="28"/>
  <c r="E77" i="28" s="1"/>
  <c r="D75" i="28"/>
  <c r="D77" i="28" s="1"/>
  <c r="C75" i="28"/>
  <c r="C77" i="28" s="1"/>
  <c r="B75" i="28"/>
  <c r="G70" i="28" s="1"/>
  <c r="E63" i="28"/>
  <c r="D63" i="28"/>
  <c r="C63" i="28"/>
  <c r="B63" i="28"/>
  <c r="E62" i="28"/>
  <c r="E64" i="28" s="1"/>
  <c r="D62" i="28"/>
  <c r="D64" i="28" s="1"/>
  <c r="C62" i="28"/>
  <c r="C64" i="28" s="1"/>
  <c r="B62" i="28"/>
  <c r="B64" i="28" s="1"/>
  <c r="G57" i="28" s="1"/>
  <c r="E51" i="28"/>
  <c r="D51" i="28"/>
  <c r="C51" i="28"/>
  <c r="B51" i="28"/>
  <c r="E50" i="28"/>
  <c r="E52" i="28" s="1"/>
  <c r="D50" i="28"/>
  <c r="D52" i="28" s="1"/>
  <c r="C50" i="28"/>
  <c r="C52" i="28" s="1"/>
  <c r="B50" i="28"/>
  <c r="B52" i="28" s="1"/>
  <c r="G45" i="28" s="1"/>
  <c r="E39" i="28"/>
  <c r="D39" i="28"/>
  <c r="C39" i="28"/>
  <c r="B39" i="28"/>
  <c r="E38" i="28"/>
  <c r="E40" i="28" s="1"/>
  <c r="D38" i="28"/>
  <c r="D40" i="28" s="1"/>
  <c r="C38" i="28"/>
  <c r="C40" i="28" s="1"/>
  <c r="B38" i="28"/>
  <c r="B40" i="28" s="1"/>
  <c r="G33" i="28" s="1"/>
  <c r="C26" i="28"/>
  <c r="B26" i="28"/>
  <c r="C25" i="28"/>
  <c r="C27" i="28" s="1"/>
  <c r="B25" i="28"/>
  <c r="B27" i="28" s="1"/>
  <c r="G22" i="28" s="1"/>
  <c r="C14" i="28"/>
  <c r="E15" i="28" s="1"/>
  <c r="B14" i="28"/>
  <c r="D15" i="28" s="1"/>
  <c r="G15" i="28" s="1"/>
  <c r="C13" i="28"/>
  <c r="C15" i="28" s="1"/>
  <c r="B13" i="28"/>
  <c r="B15" i="28" s="1"/>
  <c r="G15" i="1"/>
  <c r="E15" i="1"/>
  <c r="D15" i="1"/>
  <c r="H31" i="13"/>
  <c r="H31" i="10"/>
  <c r="I32" i="10"/>
  <c r="I33" i="10"/>
  <c r="I34" i="10"/>
  <c r="I35" i="10"/>
  <c r="I36" i="10"/>
  <c r="I37" i="10"/>
  <c r="I38" i="10"/>
  <c r="I39" i="10"/>
  <c r="I31" i="10"/>
  <c r="F14" i="13"/>
  <c r="F14" i="10"/>
  <c r="N13" i="27" l="1"/>
  <c r="G94" i="29"/>
  <c r="G82" i="29"/>
  <c r="D62" i="25" l="1"/>
  <c r="C62" i="25"/>
  <c r="D61" i="25"/>
  <c r="C61" i="25"/>
  <c r="D60" i="25"/>
  <c r="C60" i="25"/>
  <c r="D59" i="25"/>
  <c r="D58" i="25"/>
  <c r="D57" i="25"/>
  <c r="D56" i="25"/>
  <c r="D55" i="25"/>
  <c r="D54" i="25"/>
  <c r="D53" i="25"/>
  <c r="D52" i="25"/>
  <c r="D51" i="25"/>
  <c r="D50" i="25"/>
  <c r="C50" i="25"/>
  <c r="D49" i="25"/>
  <c r="C49" i="25"/>
  <c r="D48" i="25"/>
  <c r="C48" i="25"/>
  <c r="D47" i="25"/>
  <c r="D46" i="25"/>
  <c r="C46" i="25"/>
  <c r="E36" i="25"/>
  <c r="N33" i="25"/>
  <c r="F39" i="25" s="1"/>
  <c r="E33" i="25"/>
  <c r="N27" i="25"/>
  <c r="E39" i="25" s="1"/>
  <c r="D62" i="23"/>
  <c r="C62" i="23"/>
  <c r="D61" i="23"/>
  <c r="C61" i="23"/>
  <c r="D60" i="23"/>
  <c r="C60" i="23"/>
  <c r="D59" i="23"/>
  <c r="D58" i="23"/>
  <c r="D57" i="23"/>
  <c r="D56" i="23"/>
  <c r="D55" i="23"/>
  <c r="D54" i="23"/>
  <c r="D53" i="23"/>
  <c r="D52" i="23"/>
  <c r="D51" i="23"/>
  <c r="D50" i="23"/>
  <c r="C50" i="23"/>
  <c r="D49" i="23"/>
  <c r="C49" i="23"/>
  <c r="D48" i="23"/>
  <c r="C48" i="23"/>
  <c r="D47" i="23"/>
  <c r="D46" i="23"/>
  <c r="C46" i="23"/>
  <c r="N33" i="23"/>
  <c r="F39" i="23" s="1"/>
  <c r="E33" i="23"/>
  <c r="N27" i="23"/>
  <c r="E39" i="23" s="1"/>
  <c r="D62" i="21"/>
  <c r="C62" i="21"/>
  <c r="D61" i="21"/>
  <c r="C61" i="21"/>
  <c r="D60" i="21"/>
  <c r="C60" i="21"/>
  <c r="D59" i="21"/>
  <c r="D58" i="21"/>
  <c r="D57" i="21"/>
  <c r="D56" i="21"/>
  <c r="D55" i="21"/>
  <c r="D54" i="21"/>
  <c r="D53" i="21"/>
  <c r="D52" i="21"/>
  <c r="D51" i="21"/>
  <c r="D50" i="21"/>
  <c r="C50" i="21"/>
  <c r="D49" i="21"/>
  <c r="C49" i="21"/>
  <c r="D48" i="21"/>
  <c r="C48" i="21"/>
  <c r="D47" i="21"/>
  <c r="D46" i="21"/>
  <c r="C46" i="21"/>
  <c r="E39" i="21"/>
  <c r="E38" i="21"/>
  <c r="F36" i="21"/>
  <c r="E36" i="21"/>
  <c r="F34" i="21"/>
  <c r="E34" i="21"/>
  <c r="N33" i="21"/>
  <c r="F39" i="21" s="1"/>
  <c r="F32" i="21"/>
  <c r="F31" i="21"/>
  <c r="N27" i="21"/>
  <c r="E33" i="21" s="1"/>
  <c r="D62" i="19"/>
  <c r="C62" i="19"/>
  <c r="D61" i="19"/>
  <c r="C61" i="19"/>
  <c r="D60" i="19"/>
  <c r="C60" i="19"/>
  <c r="D59" i="19"/>
  <c r="D58" i="19"/>
  <c r="D57" i="19"/>
  <c r="D56" i="19"/>
  <c r="D55" i="19"/>
  <c r="D54" i="19"/>
  <c r="D53" i="19"/>
  <c r="D52" i="19"/>
  <c r="D51" i="19"/>
  <c r="D50" i="19"/>
  <c r="C50" i="19"/>
  <c r="D49" i="19"/>
  <c r="C49" i="19"/>
  <c r="D48" i="19"/>
  <c r="C48" i="19"/>
  <c r="D47" i="19"/>
  <c r="D46" i="19"/>
  <c r="C46" i="19"/>
  <c r="N33" i="19"/>
  <c r="F39" i="19" s="1"/>
  <c r="E33" i="19"/>
  <c r="E32" i="19"/>
  <c r="E31" i="19"/>
  <c r="N27" i="19"/>
  <c r="E39" i="19" s="1"/>
  <c r="D62" i="17"/>
  <c r="C62" i="17"/>
  <c r="D61" i="17"/>
  <c r="C61" i="17"/>
  <c r="D60" i="17"/>
  <c r="C60" i="17"/>
  <c r="D59" i="17"/>
  <c r="D58" i="17"/>
  <c r="D57" i="17"/>
  <c r="D56" i="17"/>
  <c r="D55" i="17"/>
  <c r="D54" i="17"/>
  <c r="D53" i="17"/>
  <c r="D52" i="17"/>
  <c r="D51" i="17"/>
  <c r="D50" i="17"/>
  <c r="C50" i="17"/>
  <c r="D49" i="17"/>
  <c r="C49" i="17"/>
  <c r="D48" i="17"/>
  <c r="C48" i="17"/>
  <c r="D47" i="17"/>
  <c r="D46" i="17"/>
  <c r="C46" i="17"/>
  <c r="N33" i="17"/>
  <c r="F39" i="17" s="1"/>
  <c r="N27" i="17"/>
  <c r="D62" i="15"/>
  <c r="C62" i="15"/>
  <c r="D61" i="15"/>
  <c r="C61" i="15"/>
  <c r="D60" i="15"/>
  <c r="C60" i="15"/>
  <c r="D59" i="15"/>
  <c r="D58" i="15"/>
  <c r="D57" i="15"/>
  <c r="D56" i="15"/>
  <c r="D55" i="15"/>
  <c r="D54" i="15"/>
  <c r="D53" i="15"/>
  <c r="D52" i="15"/>
  <c r="D51" i="15"/>
  <c r="D50" i="15"/>
  <c r="C50" i="15"/>
  <c r="D49" i="15"/>
  <c r="C49" i="15"/>
  <c r="D48" i="15"/>
  <c r="C48" i="15"/>
  <c r="D47" i="15"/>
  <c r="D46" i="15"/>
  <c r="C46" i="15"/>
  <c r="N33" i="15"/>
  <c r="F39" i="15" s="1"/>
  <c r="N27" i="15"/>
  <c r="E39" i="15" s="1"/>
  <c r="F13" i="13"/>
  <c r="D62" i="13"/>
  <c r="C62" i="13"/>
  <c r="D61" i="13"/>
  <c r="C61" i="13"/>
  <c r="D60" i="13"/>
  <c r="C60" i="13"/>
  <c r="D59" i="13"/>
  <c r="D58" i="13"/>
  <c r="D57" i="13"/>
  <c r="D56" i="13"/>
  <c r="D55" i="13"/>
  <c r="D54" i="13"/>
  <c r="D53" i="13"/>
  <c r="D52" i="13"/>
  <c r="D51" i="13"/>
  <c r="D50" i="13"/>
  <c r="C50" i="13"/>
  <c r="D49" i="13"/>
  <c r="C49" i="13"/>
  <c r="D48" i="13"/>
  <c r="C48" i="13"/>
  <c r="D47" i="13"/>
  <c r="D46" i="13"/>
  <c r="C46" i="13"/>
  <c r="F37" i="13"/>
  <c r="N33" i="13"/>
  <c r="N27" i="13"/>
  <c r="E39" i="13" s="1"/>
  <c r="F13" i="10"/>
  <c r="D62" i="10"/>
  <c r="C62" i="10"/>
  <c r="D61" i="10"/>
  <c r="C61" i="10"/>
  <c r="D60" i="10"/>
  <c r="D59" i="10"/>
  <c r="D58" i="10"/>
  <c r="D57" i="10"/>
  <c r="D56" i="10"/>
  <c r="D55" i="10"/>
  <c r="D54" i="10"/>
  <c r="D53" i="10"/>
  <c r="D52" i="10"/>
  <c r="D51" i="10"/>
  <c r="D50" i="10"/>
  <c r="C50" i="10"/>
  <c r="D49" i="10"/>
  <c r="C49" i="10"/>
  <c r="D48" i="10"/>
  <c r="C48" i="10"/>
  <c r="D47" i="10"/>
  <c r="D46" i="10"/>
  <c r="C46" i="10"/>
  <c r="N33" i="10"/>
  <c r="N27" i="10"/>
  <c r="E36" i="17" l="1"/>
  <c r="E33" i="17"/>
  <c r="E31" i="17"/>
  <c r="E39" i="17"/>
  <c r="E35" i="17"/>
  <c r="E32" i="17"/>
  <c r="E38" i="17"/>
  <c r="E34" i="17"/>
  <c r="F36" i="10"/>
  <c r="F33" i="10"/>
  <c r="F34" i="10"/>
  <c r="G34" i="10" s="1"/>
  <c r="F39" i="10"/>
  <c r="G39" i="10" s="1"/>
  <c r="C59" i="10" s="1"/>
  <c r="F35" i="10"/>
  <c r="G35" i="10" s="1"/>
  <c r="F32" i="10"/>
  <c r="F31" i="10"/>
  <c r="E37" i="17"/>
  <c r="E39" i="10"/>
  <c r="E31" i="10"/>
  <c r="F38" i="10"/>
  <c r="G38" i="10" s="1"/>
  <c r="C58" i="10" s="1"/>
  <c r="F33" i="13"/>
  <c r="F36" i="13"/>
  <c r="F38" i="13"/>
  <c r="F39" i="13"/>
  <c r="F35" i="13"/>
  <c r="F34" i="13"/>
  <c r="F33" i="21"/>
  <c r="E35" i="21"/>
  <c r="E37" i="21"/>
  <c r="E31" i="23"/>
  <c r="E31" i="25"/>
  <c r="E34" i="25"/>
  <c r="E38" i="25"/>
  <c r="E37" i="25"/>
  <c r="F35" i="21"/>
  <c r="F37" i="21"/>
  <c r="E32" i="23"/>
  <c r="E32" i="25"/>
  <c r="E35" i="25"/>
  <c r="C55" i="10"/>
  <c r="C54" i="10"/>
  <c r="F31" i="25"/>
  <c r="F32" i="25"/>
  <c r="F33" i="25"/>
  <c r="F34" i="25"/>
  <c r="F35" i="25"/>
  <c r="F36" i="25"/>
  <c r="F37" i="25"/>
  <c r="F38" i="25"/>
  <c r="F31" i="23"/>
  <c r="F32" i="23"/>
  <c r="F33" i="23"/>
  <c r="E34" i="23"/>
  <c r="E35" i="23"/>
  <c r="E36" i="23"/>
  <c r="E37" i="23"/>
  <c r="E38" i="23"/>
  <c r="F34" i="23"/>
  <c r="F35" i="23"/>
  <c r="F36" i="23"/>
  <c r="F37" i="23"/>
  <c r="F38" i="23"/>
  <c r="F38" i="21"/>
  <c r="E31" i="21"/>
  <c r="E32" i="21"/>
  <c r="F31" i="19"/>
  <c r="F32" i="19"/>
  <c r="F33" i="19"/>
  <c r="E34" i="19"/>
  <c r="E35" i="19"/>
  <c r="E36" i="19"/>
  <c r="E37" i="19"/>
  <c r="E38" i="19"/>
  <c r="F34" i="19"/>
  <c r="F35" i="19"/>
  <c r="F36" i="19"/>
  <c r="F37" i="19"/>
  <c r="F38" i="19"/>
  <c r="F31" i="17"/>
  <c r="F32" i="17"/>
  <c r="F33" i="17"/>
  <c r="F34" i="17"/>
  <c r="F35" i="17"/>
  <c r="F36" i="17"/>
  <c r="F37" i="17"/>
  <c r="F38" i="17"/>
  <c r="E31" i="15"/>
  <c r="E32" i="15"/>
  <c r="E33" i="15"/>
  <c r="F31" i="15"/>
  <c r="F32" i="15"/>
  <c r="F33" i="15"/>
  <c r="E34" i="15"/>
  <c r="E35" i="15"/>
  <c r="E36" i="15"/>
  <c r="E37" i="15"/>
  <c r="E38" i="15"/>
  <c r="F34" i="15"/>
  <c r="F35" i="15"/>
  <c r="F36" i="15"/>
  <c r="F37" i="15"/>
  <c r="F38" i="15"/>
  <c r="E31" i="13"/>
  <c r="E32" i="13"/>
  <c r="E33" i="13"/>
  <c r="F31" i="13"/>
  <c r="F32" i="13"/>
  <c r="E34" i="13"/>
  <c r="E35" i="13"/>
  <c r="E36" i="13"/>
  <c r="E37" i="13"/>
  <c r="E38" i="13"/>
  <c r="C60" i="10"/>
  <c r="F37" i="10"/>
  <c r="E32" i="10"/>
  <c r="E33" i="10"/>
  <c r="E34" i="10"/>
  <c r="E35" i="10"/>
  <c r="E36" i="10"/>
  <c r="E37" i="10"/>
  <c r="E38" i="10"/>
  <c r="G32" i="10" l="1"/>
  <c r="C52" i="10" s="1"/>
  <c r="C53" i="10"/>
  <c r="G33" i="10"/>
  <c r="G37" i="10"/>
  <c r="C57" i="10" s="1"/>
  <c r="C51" i="10"/>
  <c r="G31" i="10"/>
  <c r="G36" i="10"/>
  <c r="C56" i="10" s="1"/>
  <c r="C107" i="8"/>
  <c r="C108" i="8" s="1"/>
  <c r="C109" i="8" s="1"/>
  <c r="B107" i="8"/>
  <c r="B108" i="8" s="1"/>
  <c r="B109" i="8" s="1"/>
  <c r="C105" i="8"/>
  <c r="B105" i="8"/>
  <c r="C94" i="8"/>
  <c r="C95" i="8" s="1"/>
  <c r="C96" i="8" s="1"/>
  <c r="B94" i="8"/>
  <c r="B95" i="8" s="1"/>
  <c r="B96" i="8" s="1"/>
  <c r="C92" i="8"/>
  <c r="B92" i="8"/>
  <c r="C67" i="8"/>
  <c r="C68" i="8" s="1"/>
  <c r="C69" i="8" s="1"/>
  <c r="D69" i="8" s="1"/>
  <c r="J54" i="19" s="1"/>
  <c r="C47" i="19" s="1"/>
  <c r="B67" i="8"/>
  <c r="B68" i="8" s="1"/>
  <c r="B69" i="8" s="1"/>
  <c r="C65" i="8"/>
  <c r="B65" i="8"/>
  <c r="C54" i="8"/>
  <c r="C55" i="8" s="1"/>
  <c r="C56" i="8" s="1"/>
  <c r="B54" i="8"/>
  <c r="B55" i="8" s="1"/>
  <c r="B56" i="8" s="1"/>
  <c r="C52" i="8"/>
  <c r="B52" i="8"/>
  <c r="C41" i="8"/>
  <c r="C42" i="8" s="1"/>
  <c r="C43" i="8" s="1"/>
  <c r="B41" i="8"/>
  <c r="B42" i="8" s="1"/>
  <c r="B43" i="8" s="1"/>
  <c r="C39" i="8"/>
  <c r="B39" i="8"/>
  <c r="C28" i="8"/>
  <c r="C29" i="8" s="1"/>
  <c r="C30" i="8" s="1"/>
  <c r="B28" i="8"/>
  <c r="B29" i="8" s="1"/>
  <c r="B30" i="8" s="1"/>
  <c r="C26" i="8"/>
  <c r="B26" i="8"/>
  <c r="B79" i="8"/>
  <c r="C79" i="8"/>
  <c r="C15" i="8"/>
  <c r="C16" i="8" s="1"/>
  <c r="C17" i="8" s="1"/>
  <c r="B15" i="8"/>
  <c r="B16" i="8" s="1"/>
  <c r="B17" i="8" s="1"/>
  <c r="C13" i="8"/>
  <c r="B13" i="8"/>
  <c r="B81" i="8"/>
  <c r="B82" i="8" s="1"/>
  <c r="B83" i="8" s="1"/>
  <c r="C81" i="8"/>
  <c r="C82" i="8" s="1"/>
  <c r="C83" i="8" s="1"/>
  <c r="B114" i="7"/>
  <c r="B115" i="7" s="1"/>
  <c r="B187" i="7"/>
  <c r="B186" i="7"/>
  <c r="G171" i="7"/>
  <c r="F171" i="7"/>
  <c r="D171" i="7"/>
  <c r="C171" i="7"/>
  <c r="B171" i="7"/>
  <c r="G170" i="7"/>
  <c r="F170" i="7"/>
  <c r="D170" i="7"/>
  <c r="C170" i="7"/>
  <c r="B170" i="7"/>
  <c r="G149" i="7"/>
  <c r="F149" i="7"/>
  <c r="D149" i="7"/>
  <c r="C149" i="7"/>
  <c r="B149" i="7"/>
  <c r="G148" i="7"/>
  <c r="F148" i="7"/>
  <c r="F150" i="7" s="1"/>
  <c r="D148" i="7"/>
  <c r="C148" i="7"/>
  <c r="B148" i="7"/>
  <c r="G128" i="7"/>
  <c r="F128" i="7"/>
  <c r="D128" i="7"/>
  <c r="C128" i="7"/>
  <c r="B128" i="7"/>
  <c r="G127" i="7"/>
  <c r="F127" i="7"/>
  <c r="D127" i="7"/>
  <c r="C127" i="7"/>
  <c r="B127" i="7"/>
  <c r="G99" i="7"/>
  <c r="F99" i="7"/>
  <c r="D99" i="7"/>
  <c r="C99" i="7"/>
  <c r="B99" i="7"/>
  <c r="B100" i="7" s="1"/>
  <c r="B102" i="7" s="1"/>
  <c r="G98" i="7"/>
  <c r="F98" i="7"/>
  <c r="D98" i="7"/>
  <c r="D100" i="7" s="1"/>
  <c r="D102" i="7" s="1"/>
  <c r="C98" i="7"/>
  <c r="B98" i="7"/>
  <c r="G78" i="7"/>
  <c r="F78" i="7"/>
  <c r="D78" i="7"/>
  <c r="C78" i="7"/>
  <c r="B78" i="7"/>
  <c r="G77" i="7"/>
  <c r="F77" i="7"/>
  <c r="D77" i="7"/>
  <c r="C77" i="7"/>
  <c r="B77" i="7"/>
  <c r="G57" i="7"/>
  <c r="F57" i="7"/>
  <c r="D57" i="7"/>
  <c r="C57" i="7"/>
  <c r="B57" i="7"/>
  <c r="G56" i="7"/>
  <c r="F56" i="7"/>
  <c r="D56" i="7"/>
  <c r="C56" i="7"/>
  <c r="B56" i="7"/>
  <c r="G36" i="7"/>
  <c r="F36" i="7"/>
  <c r="D36" i="7"/>
  <c r="C36" i="7"/>
  <c r="B36" i="7"/>
  <c r="G35" i="7"/>
  <c r="F35" i="7"/>
  <c r="D35" i="7"/>
  <c r="C35" i="7"/>
  <c r="B35" i="7"/>
  <c r="D17" i="7"/>
  <c r="D19" i="7" s="1"/>
  <c r="B174" i="4"/>
  <c r="B152" i="4"/>
  <c r="B130" i="4"/>
  <c r="B108" i="4"/>
  <c r="B86" i="4"/>
  <c r="B64" i="4"/>
  <c r="B42" i="4"/>
  <c r="B20" i="4"/>
  <c r="C16" i="7"/>
  <c r="D16" i="7"/>
  <c r="B16" i="7"/>
  <c r="C15" i="7"/>
  <c r="C17" i="7" s="1"/>
  <c r="C19" i="7" s="1"/>
  <c r="D15" i="7"/>
  <c r="B15" i="7"/>
  <c r="B17" i="7" s="1"/>
  <c r="B19" i="7" s="1"/>
  <c r="B22" i="7" s="1"/>
  <c r="F15" i="7"/>
  <c r="F17" i="7" s="1"/>
  <c r="F18" i="7" s="1"/>
  <c r="B23" i="7" s="1"/>
  <c r="G15" i="7"/>
  <c r="G17" i="7" s="1"/>
  <c r="F16" i="7"/>
  <c r="G16" i="7"/>
  <c r="B109" i="4"/>
  <c r="B169" i="4"/>
  <c r="B167" i="4"/>
  <c r="B147" i="4"/>
  <c r="B145" i="4"/>
  <c r="B129" i="4"/>
  <c r="B125" i="4"/>
  <c r="B123" i="4"/>
  <c r="B107" i="4"/>
  <c r="B103" i="4"/>
  <c r="B101" i="4"/>
  <c r="B85" i="4"/>
  <c r="B81" i="4"/>
  <c r="B79" i="4"/>
  <c r="B63" i="4"/>
  <c r="B59" i="4"/>
  <c r="B57" i="4"/>
  <c r="B41" i="4"/>
  <c r="B37" i="4"/>
  <c r="B35" i="4"/>
  <c r="B19" i="4"/>
  <c r="B15" i="4"/>
  <c r="B13" i="4"/>
  <c r="B153" i="4"/>
  <c r="B130" i="5"/>
  <c r="B98" i="5"/>
  <c r="B82" i="5"/>
  <c r="B34" i="5"/>
  <c r="B50" i="5"/>
  <c r="B66" i="5"/>
  <c r="B127" i="5"/>
  <c r="B125" i="5"/>
  <c r="B132" i="5" s="1"/>
  <c r="B111" i="5"/>
  <c r="B109" i="5"/>
  <c r="B115" i="5" s="1"/>
  <c r="B116" i="5" s="1"/>
  <c r="B95" i="5"/>
  <c r="B93" i="5"/>
  <c r="B99" i="5" s="1"/>
  <c r="B100" i="5" s="1"/>
  <c r="B79" i="5"/>
  <c r="B77" i="5"/>
  <c r="B83" i="5" s="1"/>
  <c r="B84" i="5" s="1"/>
  <c r="B63" i="5"/>
  <c r="B61" i="5"/>
  <c r="B68" i="5" s="1"/>
  <c r="B47" i="5"/>
  <c r="B45" i="5"/>
  <c r="B51" i="5" s="1"/>
  <c r="B52" i="5" s="1"/>
  <c r="B31" i="5"/>
  <c r="B29" i="5"/>
  <c r="B35" i="5" s="1"/>
  <c r="B36" i="5" s="1"/>
  <c r="B15" i="5"/>
  <c r="B267" i="2"/>
  <c r="B214" i="2"/>
  <c r="B286" i="2"/>
  <c r="B250" i="2"/>
  <c r="B231" i="2"/>
  <c r="B66" i="2"/>
  <c r="B47" i="2"/>
  <c r="B28" i="2"/>
  <c r="B9" i="2"/>
  <c r="B140" i="2"/>
  <c r="B121" i="2"/>
  <c r="B102" i="2"/>
  <c r="B83" i="2"/>
  <c r="B20" i="5" l="1"/>
  <c r="B21" i="4"/>
  <c r="B175" i="4"/>
  <c r="B176" i="4" s="1"/>
  <c r="B179" i="4" s="1"/>
  <c r="M8" i="27"/>
  <c r="D17" i="8"/>
  <c r="J54" i="10" s="1"/>
  <c r="C47" i="10" s="1"/>
  <c r="C116" i="5"/>
  <c r="B87" i="4"/>
  <c r="B88" i="4" s="1"/>
  <c r="B91" i="4" s="1"/>
  <c r="C79" i="7"/>
  <c r="C81" i="7" s="1"/>
  <c r="B150" i="7"/>
  <c r="B152" i="7" s="1"/>
  <c r="M5" i="27"/>
  <c r="D83" i="8"/>
  <c r="J54" i="21" s="1"/>
  <c r="C47" i="21" s="1"/>
  <c r="B131" i="4"/>
  <c r="B43" i="4"/>
  <c r="G172" i="7"/>
  <c r="B110" i="4"/>
  <c r="B113" i="4" s="1"/>
  <c r="B65" i="4"/>
  <c r="B66" i="4" s="1"/>
  <c r="B69" i="4" s="1"/>
  <c r="F129" i="7"/>
  <c r="F130" i="7" s="1"/>
  <c r="B135" i="7" s="1"/>
  <c r="F172" i="7"/>
  <c r="M9" i="27"/>
  <c r="D30" i="8"/>
  <c r="J54" i="13" s="1"/>
  <c r="C47" i="13" s="1"/>
  <c r="D43" i="8"/>
  <c r="J54" i="15" s="1"/>
  <c r="C47" i="15" s="1"/>
  <c r="M10" i="27"/>
  <c r="M11" i="27"/>
  <c r="D56" i="8"/>
  <c r="J54" i="17" s="1"/>
  <c r="C47" i="17" s="1"/>
  <c r="M12" i="27"/>
  <c r="M6" i="27"/>
  <c r="D96" i="8"/>
  <c r="J54" i="23" s="1"/>
  <c r="C47" i="23" s="1"/>
  <c r="M7" i="27"/>
  <c r="D109" i="8"/>
  <c r="J54" i="25" s="1"/>
  <c r="C47" i="25" s="1"/>
  <c r="F173" i="7"/>
  <c r="B178" i="7" s="1"/>
  <c r="C172" i="7"/>
  <c r="C174" i="7" s="1"/>
  <c r="B172" i="7"/>
  <c r="B174" i="7" s="1"/>
  <c r="D172" i="7"/>
  <c r="D174" i="7" s="1"/>
  <c r="B177" i="7" s="1"/>
  <c r="G150" i="7"/>
  <c r="F151" i="7"/>
  <c r="B156" i="7" s="1"/>
  <c r="C150" i="7"/>
  <c r="C152" i="7" s="1"/>
  <c r="D150" i="7"/>
  <c r="D152" i="7" s="1"/>
  <c r="B155" i="7" s="1"/>
  <c r="G129" i="7"/>
  <c r="C129" i="7"/>
  <c r="C131" i="7" s="1"/>
  <c r="B129" i="7"/>
  <c r="B131" i="7" s="1"/>
  <c r="D129" i="7"/>
  <c r="D131" i="7" s="1"/>
  <c r="G100" i="7"/>
  <c r="F100" i="7"/>
  <c r="F101" i="7" s="1"/>
  <c r="B106" i="7" s="1"/>
  <c r="C100" i="7"/>
  <c r="C102" i="7" s="1"/>
  <c r="B105" i="7" s="1"/>
  <c r="F79" i="7"/>
  <c r="G79" i="7"/>
  <c r="F80" i="7"/>
  <c r="B85" i="7" s="1"/>
  <c r="B79" i="7"/>
  <c r="B81" i="7" s="1"/>
  <c r="D79" i="7"/>
  <c r="D81" i="7" s="1"/>
  <c r="B84" i="7"/>
  <c r="G58" i="7"/>
  <c r="F58" i="7"/>
  <c r="C58" i="7"/>
  <c r="C60" i="7" s="1"/>
  <c r="B58" i="7"/>
  <c r="B60" i="7" s="1"/>
  <c r="D58" i="7"/>
  <c r="D60" i="7" s="1"/>
  <c r="B24" i="7"/>
  <c r="G37" i="7"/>
  <c r="F37" i="7"/>
  <c r="F38" i="7" s="1"/>
  <c r="B43" i="7" s="1"/>
  <c r="B37" i="7"/>
  <c r="B39" i="7" s="1"/>
  <c r="B42" i="7" s="1"/>
  <c r="D37" i="7"/>
  <c r="D39" i="7" s="1"/>
  <c r="C37" i="7"/>
  <c r="C39" i="7" s="1"/>
  <c r="B154" i="4"/>
  <c r="B157" i="4" s="1"/>
  <c r="B132" i="4"/>
  <c r="B135" i="4" s="1"/>
  <c r="B44" i="4"/>
  <c r="B47" i="4" s="1"/>
  <c r="B288" i="2"/>
  <c r="B290" i="2" s="1"/>
  <c r="B293" i="2" s="1"/>
  <c r="J28" i="25" s="1"/>
  <c r="B269" i="2"/>
  <c r="B271" i="2" s="1"/>
  <c r="B274" i="2" s="1"/>
  <c r="B233" i="2"/>
  <c r="B235" i="2" s="1"/>
  <c r="B238" i="2" s="1"/>
  <c r="B252" i="2"/>
  <c r="B254" i="2" s="1"/>
  <c r="B257" i="2" s="1"/>
  <c r="J28" i="23" s="1"/>
  <c r="B11" i="2"/>
  <c r="B13" i="2" s="1"/>
  <c r="B16" i="2" s="1"/>
  <c r="B30" i="2"/>
  <c r="B32" i="2" s="1"/>
  <c r="B35" i="2" s="1"/>
  <c r="B49" i="2"/>
  <c r="B51" i="2" s="1"/>
  <c r="B54" i="2" s="1"/>
  <c r="B68" i="2"/>
  <c r="B70" i="2" s="1"/>
  <c r="B73" i="2" s="1"/>
  <c r="J28" i="13" s="1"/>
  <c r="B85" i="2"/>
  <c r="B87" i="2" s="1"/>
  <c r="B90" i="2" s="1"/>
  <c r="B123" i="2"/>
  <c r="B125" i="2" s="1"/>
  <c r="B128" i="2" s="1"/>
  <c r="B142" i="2"/>
  <c r="B144" i="2" s="1"/>
  <c r="B147" i="2" s="1"/>
  <c r="B104" i="2"/>
  <c r="B106" i="2" s="1"/>
  <c r="B109" i="2" s="1"/>
  <c r="J28" i="15" s="1"/>
  <c r="C69" i="3"/>
  <c r="C68" i="3"/>
  <c r="C70" i="3" s="1"/>
  <c r="C48" i="3"/>
  <c r="C47" i="3"/>
  <c r="B48" i="3"/>
  <c r="B47" i="3"/>
  <c r="B49" i="3" s="1"/>
  <c r="C26" i="1"/>
  <c r="B26" i="1"/>
  <c r="C25" i="1"/>
  <c r="B25" i="1"/>
  <c r="B27" i="1" s="1"/>
  <c r="C14" i="1"/>
  <c r="B14" i="1"/>
  <c r="C13" i="1"/>
  <c r="C153" i="3"/>
  <c r="B153" i="3"/>
  <c r="C152" i="3"/>
  <c r="B152" i="3"/>
  <c r="B154" i="3" s="1"/>
  <c r="C145" i="3"/>
  <c r="B145" i="3"/>
  <c r="C144" i="3"/>
  <c r="B144" i="3"/>
  <c r="B146" i="3" s="1"/>
  <c r="C132" i="3"/>
  <c r="B132" i="3"/>
  <c r="C131" i="3"/>
  <c r="B131" i="3"/>
  <c r="B133" i="3" s="1"/>
  <c r="C124" i="3"/>
  <c r="B124" i="3"/>
  <c r="C123" i="3"/>
  <c r="B123" i="3"/>
  <c r="C111" i="3"/>
  <c r="B111" i="3"/>
  <c r="C110" i="3"/>
  <c r="B110" i="3"/>
  <c r="B112" i="3" s="1"/>
  <c r="C103" i="3"/>
  <c r="B103" i="3"/>
  <c r="C102" i="3"/>
  <c r="B102" i="3"/>
  <c r="C90" i="3"/>
  <c r="C89" i="3"/>
  <c r="B90" i="3"/>
  <c r="B89" i="3"/>
  <c r="B91" i="3" s="1"/>
  <c r="C82" i="3"/>
  <c r="B82" i="3"/>
  <c r="C81" i="3"/>
  <c r="B81" i="3"/>
  <c r="B83" i="3" s="1"/>
  <c r="B69" i="3"/>
  <c r="B68" i="3"/>
  <c r="C61" i="3"/>
  <c r="B61" i="3"/>
  <c r="C60" i="3"/>
  <c r="B60" i="3"/>
  <c r="C40" i="3"/>
  <c r="B40" i="3"/>
  <c r="C39" i="3"/>
  <c r="C41" i="3" s="1"/>
  <c r="B39" i="3"/>
  <c r="B41" i="3" s="1"/>
  <c r="C27" i="3"/>
  <c r="B27" i="3"/>
  <c r="C26" i="3"/>
  <c r="B26" i="3"/>
  <c r="B28" i="3" s="1"/>
  <c r="C14" i="3"/>
  <c r="B14" i="3"/>
  <c r="C13" i="3"/>
  <c r="B13" i="3"/>
  <c r="J28" i="19" l="1"/>
  <c r="J28" i="17"/>
  <c r="G35" i="13"/>
  <c r="C55" i="13" s="1"/>
  <c r="G39" i="13"/>
  <c r="C59" i="13" s="1"/>
  <c r="G37" i="13"/>
  <c r="C57" i="13" s="1"/>
  <c r="G32" i="13"/>
  <c r="C52" i="13" s="1"/>
  <c r="G36" i="13"/>
  <c r="C56" i="13" s="1"/>
  <c r="G31" i="13"/>
  <c r="C51" i="13" s="1"/>
  <c r="G33" i="13"/>
  <c r="C53" i="13" s="1"/>
  <c r="G38" i="13"/>
  <c r="C58" i="13" s="1"/>
  <c r="G34" i="13"/>
  <c r="C54" i="13" s="1"/>
  <c r="G33" i="23"/>
  <c r="C53" i="23" s="1"/>
  <c r="G37" i="23"/>
  <c r="C57" i="23" s="1"/>
  <c r="G34" i="23"/>
  <c r="C54" i="23" s="1"/>
  <c r="G38" i="23"/>
  <c r="C58" i="23" s="1"/>
  <c r="G35" i="23"/>
  <c r="C55" i="23" s="1"/>
  <c r="G39" i="23"/>
  <c r="C59" i="23" s="1"/>
  <c r="G36" i="23"/>
  <c r="C56" i="23" s="1"/>
  <c r="G31" i="23"/>
  <c r="C51" i="23" s="1"/>
  <c r="G32" i="23"/>
  <c r="C52" i="23" s="1"/>
  <c r="B44" i="7"/>
  <c r="B179" i="7"/>
  <c r="C15" i="3"/>
  <c r="C28" i="3"/>
  <c r="C83" i="3"/>
  <c r="C112" i="3"/>
  <c r="C133" i="3"/>
  <c r="C154" i="3"/>
  <c r="C15" i="1"/>
  <c r="G10" i="1" s="1"/>
  <c r="C27" i="1"/>
  <c r="G22" i="1" s="1"/>
  <c r="C9" i="27" s="1"/>
  <c r="B62" i="3"/>
  <c r="B70" i="3"/>
  <c r="C91" i="3"/>
  <c r="C49" i="3"/>
  <c r="G32" i="15"/>
  <c r="C52" i="15" s="1"/>
  <c r="G36" i="15"/>
  <c r="C56" i="15" s="1"/>
  <c r="G31" i="15"/>
  <c r="C51" i="15" s="1"/>
  <c r="G38" i="15"/>
  <c r="C58" i="15" s="1"/>
  <c r="G33" i="15"/>
  <c r="C53" i="15" s="1"/>
  <c r="G37" i="15"/>
  <c r="C57" i="15" s="1"/>
  <c r="G34" i="15"/>
  <c r="C54" i="15" s="1"/>
  <c r="G39" i="15"/>
  <c r="C59" i="15" s="1"/>
  <c r="G35" i="15"/>
  <c r="C55" i="15" s="1"/>
  <c r="G32" i="25"/>
  <c r="C52" i="25" s="1"/>
  <c r="G36" i="25"/>
  <c r="C56" i="25" s="1"/>
  <c r="G31" i="25"/>
  <c r="C51" i="25" s="1"/>
  <c r="G34" i="25"/>
  <c r="C54" i="25" s="1"/>
  <c r="G33" i="25"/>
  <c r="C53" i="25" s="1"/>
  <c r="G37" i="25"/>
  <c r="C57" i="25" s="1"/>
  <c r="G38" i="25"/>
  <c r="C58" i="25" s="1"/>
  <c r="G35" i="25"/>
  <c r="C55" i="25" s="1"/>
  <c r="G39" i="25"/>
  <c r="C59" i="25" s="1"/>
  <c r="F59" i="7"/>
  <c r="B64" i="7" s="1"/>
  <c r="M13" i="27"/>
  <c r="B157" i="7"/>
  <c r="B134" i="7"/>
  <c r="B107" i="7"/>
  <c r="B86" i="7"/>
  <c r="B63" i="7"/>
  <c r="B125" i="3"/>
  <c r="C125" i="3"/>
  <c r="C104" i="3"/>
  <c r="B104" i="3"/>
  <c r="C146" i="3"/>
  <c r="C62" i="3"/>
  <c r="B216" i="2"/>
  <c r="B218" i="2" s="1"/>
  <c r="B221" i="2" s="1"/>
  <c r="J28" i="21" s="1"/>
  <c r="B195" i="2"/>
  <c r="B176" i="2"/>
  <c r="B157" i="2"/>
  <c r="C8" i="27" l="1"/>
  <c r="G35" i="21"/>
  <c r="C55" i="21" s="1"/>
  <c r="G39" i="21"/>
  <c r="C59" i="21" s="1"/>
  <c r="G34" i="21"/>
  <c r="C54" i="21" s="1"/>
  <c r="G38" i="21"/>
  <c r="C58" i="21" s="1"/>
  <c r="G32" i="21"/>
  <c r="C52" i="21" s="1"/>
  <c r="G36" i="21"/>
  <c r="C56" i="21" s="1"/>
  <c r="G31" i="21"/>
  <c r="C51" i="21" s="1"/>
  <c r="G33" i="21"/>
  <c r="C53" i="21" s="1"/>
  <c r="G37" i="21"/>
  <c r="C57" i="21" s="1"/>
  <c r="B136" i="7"/>
  <c r="G33" i="17"/>
  <c r="C53" i="17" s="1"/>
  <c r="G37" i="17"/>
  <c r="C57" i="17" s="1"/>
  <c r="G35" i="17"/>
  <c r="C55" i="17" s="1"/>
  <c r="G36" i="17"/>
  <c r="C56" i="17" s="1"/>
  <c r="G34" i="17"/>
  <c r="C54" i="17" s="1"/>
  <c r="G38" i="17"/>
  <c r="C58" i="17" s="1"/>
  <c r="G39" i="17"/>
  <c r="C59" i="17" s="1"/>
  <c r="G32" i="17"/>
  <c r="C52" i="17" s="1"/>
  <c r="G31" i="17"/>
  <c r="C51" i="17" s="1"/>
  <c r="B65" i="7"/>
  <c r="G34" i="19"/>
  <c r="C54" i="19" s="1"/>
  <c r="G38" i="19"/>
  <c r="C58" i="19" s="1"/>
  <c r="G37" i="19"/>
  <c r="C57" i="19" s="1"/>
  <c r="G35" i="19"/>
  <c r="C55" i="19" s="1"/>
  <c r="G39" i="19"/>
  <c r="C59" i="19" s="1"/>
  <c r="G32" i="19"/>
  <c r="C52" i="19" s="1"/>
  <c r="G36" i="19"/>
  <c r="C56" i="19" s="1"/>
  <c r="G31" i="19"/>
  <c r="C51" i="19" s="1"/>
  <c r="G33" i="19"/>
  <c r="C53" i="19" s="1"/>
  <c r="B159" i="2"/>
  <c r="B161" i="2" s="1"/>
  <c r="B164" i="2" s="1"/>
  <c r="B197" i="2"/>
  <c r="B199" i="2" s="1"/>
  <c r="B202" i="2" s="1"/>
  <c r="B178" i="2"/>
  <c r="B180" i="2" s="1"/>
  <c r="B183" i="2" s="1"/>
  <c r="H38" i="13" l="1"/>
  <c r="H33" i="13"/>
  <c r="H39" i="13"/>
  <c r="H32" i="13"/>
  <c r="H36" i="13"/>
  <c r="H35" i="13"/>
  <c r="H37" i="13"/>
  <c r="H34" i="13"/>
  <c r="H39" i="10"/>
  <c r="H33" i="10"/>
  <c r="H32" i="10"/>
  <c r="H36" i="10"/>
  <c r="H38" i="10"/>
  <c r="H34" i="10"/>
  <c r="H37" i="10"/>
  <c r="H35" i="10"/>
  <c r="D99" i="1"/>
  <c r="E99" i="1"/>
  <c r="D100" i="1"/>
  <c r="E100" i="1"/>
  <c r="D87" i="1"/>
  <c r="E87" i="1"/>
  <c r="D88" i="1"/>
  <c r="E88" i="1"/>
  <c r="D75" i="1"/>
  <c r="E75" i="1"/>
  <c r="D76" i="1"/>
  <c r="E76" i="1"/>
  <c r="D62" i="1"/>
  <c r="E62" i="1"/>
  <c r="D63" i="1"/>
  <c r="E63" i="1"/>
  <c r="D50" i="1"/>
  <c r="E50" i="1"/>
  <c r="D51" i="1"/>
  <c r="E51" i="1"/>
  <c r="D38" i="1"/>
  <c r="E38" i="1"/>
  <c r="D39" i="1"/>
  <c r="E39" i="1"/>
  <c r="E52" i="1" l="1"/>
  <c r="E40" i="1"/>
  <c r="E64" i="1"/>
  <c r="E77" i="1"/>
  <c r="E89" i="1"/>
  <c r="E101" i="1"/>
  <c r="D40" i="1"/>
  <c r="D52" i="1"/>
  <c r="D64" i="1"/>
  <c r="D77" i="1"/>
  <c r="D89" i="1"/>
  <c r="D101" i="1"/>
  <c r="C100" i="1"/>
  <c r="B100" i="1"/>
  <c r="C99" i="1"/>
  <c r="C101" i="1" s="1"/>
  <c r="B99" i="1"/>
  <c r="B101" i="1" s="1"/>
  <c r="G94" i="1" s="1"/>
  <c r="C88" i="1"/>
  <c r="B88" i="1"/>
  <c r="C87" i="1"/>
  <c r="C89" i="1" s="1"/>
  <c r="B87" i="1"/>
  <c r="B89" i="1" s="1"/>
  <c r="G82" i="1" s="1"/>
  <c r="C76" i="1"/>
  <c r="B76" i="1"/>
  <c r="C75" i="1"/>
  <c r="C77" i="1" s="1"/>
  <c r="B75" i="1"/>
  <c r="G70" i="1" s="1"/>
  <c r="C63" i="1"/>
  <c r="B63" i="1"/>
  <c r="C62" i="1"/>
  <c r="C64" i="1" s="1"/>
  <c r="B62" i="1"/>
  <c r="B64" i="1" s="1"/>
  <c r="G57" i="1" s="1"/>
  <c r="C39" i="1"/>
  <c r="B39" i="1"/>
  <c r="C38" i="1"/>
  <c r="C40" i="1" s="1"/>
  <c r="B38" i="1"/>
  <c r="B40" i="1" s="1"/>
  <c r="G33" i="1" s="1"/>
  <c r="C50" i="1"/>
  <c r="C51" i="1"/>
  <c r="B51" i="1"/>
  <c r="B50" i="1"/>
  <c r="B52" i="1" s="1"/>
  <c r="C10" i="27" l="1"/>
  <c r="F14" i="15"/>
  <c r="C6" i="27"/>
  <c r="F14" i="23"/>
  <c r="C12" i="27"/>
  <c r="F14" i="19"/>
  <c r="C5" i="27"/>
  <c r="F14" i="21"/>
  <c r="C7" i="27"/>
  <c r="F14" i="25"/>
  <c r="C52" i="1"/>
  <c r="G45" i="1" s="1"/>
  <c r="C11" i="27" l="1"/>
  <c r="F14" i="17"/>
  <c r="C13" i="27"/>
  <c r="H31" i="25"/>
  <c r="H36" i="25"/>
  <c r="H37" i="25"/>
  <c r="H32" i="25"/>
  <c r="H35" i="25"/>
  <c r="H33" i="25"/>
  <c r="H34" i="25"/>
  <c r="H39" i="25"/>
  <c r="H38" i="25"/>
  <c r="H33" i="19"/>
  <c r="H37" i="19"/>
  <c r="H36" i="19"/>
  <c r="H32" i="19"/>
  <c r="H38" i="19"/>
  <c r="H31" i="19"/>
  <c r="H34" i="19"/>
  <c r="H39" i="19"/>
  <c r="H35" i="19"/>
  <c r="H32" i="15"/>
  <c r="H37" i="15"/>
  <c r="H39" i="15"/>
  <c r="H34" i="15"/>
  <c r="H36" i="15"/>
  <c r="H35" i="15"/>
  <c r="H38" i="15"/>
  <c r="H33" i="15"/>
  <c r="H31" i="15"/>
  <c r="H37" i="21"/>
  <c r="H32" i="21"/>
  <c r="H33" i="21"/>
  <c r="H31" i="21"/>
  <c r="H36" i="21"/>
  <c r="H34" i="21"/>
  <c r="H39" i="21"/>
  <c r="H38" i="21"/>
  <c r="H35" i="21"/>
  <c r="H35" i="23"/>
  <c r="H32" i="23"/>
  <c r="H34" i="23"/>
  <c r="H37" i="23"/>
  <c r="H31" i="23"/>
  <c r="H39" i="23"/>
  <c r="H38" i="23"/>
  <c r="H36" i="23"/>
  <c r="H33" i="23"/>
  <c r="H32" i="17" l="1"/>
  <c r="H35" i="17"/>
  <c r="H31" i="17"/>
  <c r="H34" i="17"/>
  <c r="H39" i="17"/>
  <c r="H37" i="17"/>
  <c r="H38" i="17"/>
  <c r="H36" i="17"/>
  <c r="H33" i="17"/>
</calcChain>
</file>

<file path=xl/sharedStrings.xml><?xml version="1.0" encoding="utf-8"?>
<sst xmlns="http://schemas.openxmlformats.org/spreadsheetml/2006/main" count="2119" uniqueCount="323">
  <si>
    <t>Project</t>
  </si>
  <si>
    <t xml:space="preserve">Mangrove-Mudflat Coastlines Impacted by Sea Level Rise (SLR) &amp; Storms:
 Hydrodynamics and Sediment Dynamics, Chateau Margot Mangroves, Guyana
</t>
  </si>
  <si>
    <t>Frame #4 from Mangrove Edge</t>
  </si>
  <si>
    <t>Moisture Content</t>
  </si>
  <si>
    <t>Drying Dish #</t>
  </si>
  <si>
    <t>C</t>
  </si>
  <si>
    <t>B</t>
  </si>
  <si>
    <t>Temperature for Drying</t>
  </si>
  <si>
    <t>After 24 Hours</t>
  </si>
  <si>
    <t>After 48 hours</t>
  </si>
  <si>
    <t>Weight of Dish (g)</t>
  </si>
  <si>
    <t>Wt. Of Dish + Wet Soil (g)</t>
  </si>
  <si>
    <t>Wt. Of Dish + Dry Soil (g)</t>
  </si>
  <si>
    <t>Moisture (g)</t>
  </si>
  <si>
    <t>Wt. Of Dry Soil (g)</t>
  </si>
  <si>
    <r>
      <t xml:space="preserve">Percent Moisture </t>
    </r>
    <r>
      <rPr>
        <b/>
        <strike/>
        <sz val="11"/>
        <color theme="1"/>
        <rFont val="Calibri"/>
        <family val="2"/>
        <scheme val="minor"/>
      </rPr>
      <t>%</t>
    </r>
  </si>
  <si>
    <t>Sample Location 1</t>
  </si>
  <si>
    <t>Frame #3 from Mangrove Edge</t>
  </si>
  <si>
    <t>L2</t>
  </si>
  <si>
    <t>A4</t>
  </si>
  <si>
    <t>Sample Location 2</t>
  </si>
  <si>
    <t>Sample Location 3</t>
  </si>
  <si>
    <t>Frame #5 from Mangrove Edge</t>
  </si>
  <si>
    <t>S</t>
  </si>
  <si>
    <t>Frame #1 from the Seawall</t>
  </si>
  <si>
    <t>Sample Location 4</t>
  </si>
  <si>
    <t>A</t>
  </si>
  <si>
    <t>Sample Location 5</t>
  </si>
  <si>
    <t>Frame #2 from the Seawall</t>
  </si>
  <si>
    <t>TB</t>
  </si>
  <si>
    <t>Sample Location 6</t>
  </si>
  <si>
    <t>Frame #3 from the Seawall</t>
  </si>
  <si>
    <t>D</t>
  </si>
  <si>
    <t>E</t>
  </si>
  <si>
    <r>
      <t xml:space="preserve">110 </t>
    </r>
    <r>
      <rPr>
        <sz val="11"/>
        <color theme="1"/>
        <rFont val="Calibri"/>
        <family val="2"/>
      </rPr>
      <t>°C</t>
    </r>
  </si>
  <si>
    <t>Date</t>
  </si>
  <si>
    <t>Sample No.</t>
  </si>
  <si>
    <t>Specific Gravity</t>
  </si>
  <si>
    <t>Wt. of Flask (g)</t>
  </si>
  <si>
    <t>Wt. of Flask No. C + Sample (g)</t>
  </si>
  <si>
    <t>Wt. Of flask + water to mark (g)</t>
  </si>
  <si>
    <t>Wt. of Sample (A-B) (g)</t>
  </si>
  <si>
    <t>Wt. Of flask + water to mark + water (C+D)  assuming no loss of water (g)</t>
  </si>
  <si>
    <t>Volume occupied by sample (E-F)</t>
  </si>
  <si>
    <t>Temperature of water</t>
  </si>
  <si>
    <t>Temperature correction factor</t>
  </si>
  <si>
    <t>Specific Gravity  C/ G x I</t>
  </si>
  <si>
    <t>Wt. of Flask No. F + Sample (g)</t>
  </si>
  <si>
    <t xml:space="preserve">1 (a) </t>
  </si>
  <si>
    <t xml:space="preserve">1 (b) </t>
  </si>
  <si>
    <t xml:space="preserve">2 (a) </t>
  </si>
  <si>
    <t>Wt. Of flask + sample + water to mark (g)</t>
  </si>
  <si>
    <t>Wt. of Flask No. 3 + Sample (g)</t>
  </si>
  <si>
    <r>
      <rPr>
        <b/>
        <sz val="11"/>
        <color theme="1"/>
        <rFont val="Calibri"/>
        <family val="2"/>
        <scheme val="minor"/>
      </rPr>
      <t>Frame #4</t>
    </r>
    <r>
      <rPr>
        <sz val="11"/>
        <color theme="1"/>
        <rFont val="Calibri"/>
        <family val="2"/>
        <scheme val="minor"/>
      </rPr>
      <t xml:space="preserve"> from Mangrove Edge to Ocean</t>
    </r>
  </si>
  <si>
    <r>
      <rPr>
        <b/>
        <sz val="11"/>
        <color theme="1"/>
        <rFont val="Calibri"/>
        <family val="2"/>
        <scheme val="minor"/>
      </rPr>
      <t>Frame #3</t>
    </r>
    <r>
      <rPr>
        <sz val="11"/>
        <color theme="1"/>
        <rFont val="Calibri"/>
        <family val="2"/>
        <scheme val="minor"/>
      </rPr>
      <t xml:space="preserve"> from Mangrove Edge to Ocean</t>
    </r>
  </si>
  <si>
    <t>Wt. of Flask No. 1 + Sample (g)</t>
  </si>
  <si>
    <t xml:space="preserve">2 (b) </t>
  </si>
  <si>
    <t>Mangrove-Mudflat Coastlines Impacted by Sea Level Rise (SLR) &amp; Storms:
 Hydrodynamics and Sediment Dynamics, Chateau Margot Mangroves, Guyana</t>
  </si>
  <si>
    <t>Frame #1 from Mangrove Edge</t>
  </si>
  <si>
    <t>Organic Content</t>
  </si>
  <si>
    <t>Wt. Of Dish + Oven Dried Soil (g)</t>
  </si>
  <si>
    <t>Wt. Of Dish + Furnace Dried Soil (g)</t>
  </si>
  <si>
    <t xml:space="preserve"> </t>
  </si>
  <si>
    <t xml:space="preserve">A </t>
  </si>
  <si>
    <t>Organic (g)</t>
  </si>
  <si>
    <t>Wt. Of Furnace Dried Soil (g)</t>
  </si>
  <si>
    <r>
      <t xml:space="preserve">Percent Organics </t>
    </r>
    <r>
      <rPr>
        <b/>
        <strike/>
        <sz val="11"/>
        <color theme="1"/>
        <rFont val="Calibri"/>
        <family val="2"/>
        <scheme val="minor"/>
      </rPr>
      <t>%</t>
    </r>
  </si>
  <si>
    <t>Frame #2 from Mangrove Edge</t>
  </si>
  <si>
    <t>Po4</t>
  </si>
  <si>
    <t>P013</t>
  </si>
  <si>
    <t>Weight of the Soil (g)</t>
  </si>
  <si>
    <t>Moisture Weight (g)</t>
  </si>
  <si>
    <t>Moisture Content (%)</t>
  </si>
  <si>
    <t>P04</t>
  </si>
  <si>
    <t>Weight of Porcelain Dish (g)</t>
  </si>
  <si>
    <r>
      <t xml:space="preserve">4400 </t>
    </r>
    <r>
      <rPr>
        <sz val="11"/>
        <color theme="1"/>
        <rFont val="Calibri"/>
        <family val="2"/>
      </rPr>
      <t>°C</t>
    </r>
  </si>
  <si>
    <t>11_5</t>
  </si>
  <si>
    <t>Sample Location5</t>
  </si>
  <si>
    <t>P05</t>
  </si>
  <si>
    <t>T3</t>
  </si>
  <si>
    <t>Frame #1 from Seawall</t>
  </si>
  <si>
    <t>Sample Location 7</t>
  </si>
  <si>
    <t>Frame #2 from Seawall</t>
  </si>
  <si>
    <t>Frame #3 from Seawall</t>
  </si>
  <si>
    <t>Sample Location 8</t>
  </si>
  <si>
    <t>P019</t>
  </si>
  <si>
    <t>P011</t>
  </si>
  <si>
    <t>P07</t>
  </si>
  <si>
    <t>P09</t>
  </si>
  <si>
    <r>
      <rPr>
        <b/>
        <sz val="11"/>
        <color theme="1"/>
        <rFont val="Calibri"/>
        <family val="2"/>
        <scheme val="minor"/>
      </rPr>
      <t>Frame #1</t>
    </r>
    <r>
      <rPr>
        <sz val="11"/>
        <color theme="1"/>
        <rFont val="Calibri"/>
        <family val="2"/>
        <scheme val="minor"/>
      </rPr>
      <t xml:space="preserve"> from Mangrove Edge</t>
    </r>
  </si>
  <si>
    <r>
      <rPr>
        <b/>
        <sz val="11"/>
        <color theme="1"/>
        <rFont val="Calibri"/>
        <family val="2"/>
        <scheme val="minor"/>
      </rPr>
      <t>Frame #2</t>
    </r>
    <r>
      <rPr>
        <sz val="11"/>
        <color theme="1"/>
        <rFont val="Calibri"/>
        <family val="2"/>
        <scheme val="minor"/>
      </rPr>
      <t xml:space="preserve"> from Mangrove Edge</t>
    </r>
  </si>
  <si>
    <t xml:space="preserve">3 (a) </t>
  </si>
  <si>
    <t xml:space="preserve">3 (b) </t>
  </si>
  <si>
    <t xml:space="preserve">4 (a) </t>
  </si>
  <si>
    <t xml:space="preserve">4 (b) </t>
  </si>
  <si>
    <r>
      <rPr>
        <b/>
        <sz val="11"/>
        <color theme="1"/>
        <rFont val="Calibri"/>
        <family val="2"/>
        <scheme val="minor"/>
      </rPr>
      <t>Frame #5</t>
    </r>
    <r>
      <rPr>
        <sz val="11"/>
        <color theme="1"/>
        <rFont val="Calibri"/>
        <family val="2"/>
        <scheme val="minor"/>
      </rPr>
      <t xml:space="preserve"> from Mangrove Edge to Ocean</t>
    </r>
  </si>
  <si>
    <t xml:space="preserve">5 (a) </t>
  </si>
  <si>
    <t xml:space="preserve">5 (b) </t>
  </si>
  <si>
    <r>
      <rPr>
        <b/>
        <sz val="11"/>
        <color theme="1"/>
        <rFont val="Calibri"/>
        <family val="2"/>
        <scheme val="minor"/>
      </rPr>
      <t>Frame #1</t>
    </r>
    <r>
      <rPr>
        <sz val="11"/>
        <color theme="1"/>
        <rFont val="Calibri"/>
        <family val="2"/>
        <scheme val="minor"/>
      </rPr>
      <t xml:space="preserve"> from Sea Wall</t>
    </r>
  </si>
  <si>
    <t xml:space="preserve">6 (a) </t>
  </si>
  <si>
    <t xml:space="preserve">6 (b) </t>
  </si>
  <si>
    <r>
      <rPr>
        <b/>
        <sz val="11"/>
        <color theme="1"/>
        <rFont val="Calibri"/>
        <family val="2"/>
        <scheme val="minor"/>
      </rPr>
      <t>Frame #2</t>
    </r>
    <r>
      <rPr>
        <sz val="11"/>
        <color theme="1"/>
        <rFont val="Calibri"/>
        <family val="2"/>
        <scheme val="minor"/>
      </rPr>
      <t xml:space="preserve"> from Sea Wall</t>
    </r>
  </si>
  <si>
    <t xml:space="preserve">7 (a) </t>
  </si>
  <si>
    <t xml:space="preserve">7 (b) </t>
  </si>
  <si>
    <r>
      <rPr>
        <b/>
        <sz val="11"/>
        <color theme="1"/>
        <rFont val="Calibri"/>
        <family val="2"/>
        <scheme val="minor"/>
      </rPr>
      <t>Frame #3</t>
    </r>
    <r>
      <rPr>
        <sz val="11"/>
        <color theme="1"/>
        <rFont val="Calibri"/>
        <family val="2"/>
        <scheme val="minor"/>
      </rPr>
      <t xml:space="preserve"> from Sea Wall</t>
    </r>
  </si>
  <si>
    <t xml:space="preserve">8 (a) </t>
  </si>
  <si>
    <t xml:space="preserve">8 (b) </t>
  </si>
  <si>
    <t>Dry Density</t>
  </si>
  <si>
    <t>Beaker Weight (g)</t>
  </si>
  <si>
    <t>Water set to 200ml</t>
  </si>
  <si>
    <t>Beaker + Water (200ml) (g)</t>
  </si>
  <si>
    <t>Beaker + Sample + Water (g)</t>
  </si>
  <si>
    <t>Initial Volume of Water (ml)</t>
  </si>
  <si>
    <t>Change in Volume (ml)</t>
  </si>
  <si>
    <t>Volume of Water (w/ Sample) (ml)</t>
  </si>
  <si>
    <t>Wt. of Dish (CC) (g)</t>
  </si>
  <si>
    <t>Wt. of Dish (CC) + Sample (g)</t>
  </si>
  <si>
    <t>Bulk Density (g/ml)</t>
  </si>
  <si>
    <t>Bulk Density (kg/m3)</t>
  </si>
  <si>
    <t>Mass of Sample in Water (g)</t>
  </si>
  <si>
    <t>Wt. of Sample, in Dish (g)</t>
  </si>
  <si>
    <t>Wt. of Dish (TB) + Sample (g)</t>
  </si>
  <si>
    <t>Wt. of Dish (TB) (g)</t>
  </si>
  <si>
    <t>Wt. of Dish (P4) (g)</t>
  </si>
  <si>
    <t>Wt. of Dish (P4) + Sample (g)</t>
  </si>
  <si>
    <t>Wt. of Dish (O2) (g)</t>
  </si>
  <si>
    <t>Wt. of Dish (O2) + Sample (g)</t>
  </si>
  <si>
    <t>Wt. of Dish (D4) (g)</t>
  </si>
  <si>
    <t>Wt. of Dish (D4) + Sample (g)</t>
  </si>
  <si>
    <t>Wt. of Dish (P05) (g)</t>
  </si>
  <si>
    <t>Wt. of Dish (G4) (g)</t>
  </si>
  <si>
    <t>Wt. of Dish (G4) + Sample (g)</t>
  </si>
  <si>
    <t>Wt. of Dish (2) (g)</t>
  </si>
  <si>
    <t>Wt. of Dish (2) + Sample (g)</t>
  </si>
  <si>
    <t>Beaker + Oven Dried Sample + Water (g)</t>
  </si>
  <si>
    <t>Wt. of Dish (CC) + Wet Sample (g)</t>
  </si>
  <si>
    <t>Wt. of Dish (CC) + Dry Sample (g)</t>
  </si>
  <si>
    <t xml:space="preserve">Density of mud, ρs (kg/m3) </t>
  </si>
  <si>
    <t>Dnsity of Water, ρw (kg/m3)</t>
  </si>
  <si>
    <t>Bulk Density, ρb (kg/m3)</t>
  </si>
  <si>
    <t>Dry Density, ρdry (kg/m3)</t>
  </si>
  <si>
    <t>Wt. of Dish (D4) + Wet Sample (g)</t>
  </si>
  <si>
    <t>Wt. of Dish (D4) + Dry Sample (g)</t>
  </si>
  <si>
    <t>Wt. of Dish (O2) + Wet Sample (g)</t>
  </si>
  <si>
    <t>Wt. of Dish (O2) + Dry Sample (g)</t>
  </si>
  <si>
    <t>Wt. of Dish (G4) + Wet Sample (g)</t>
  </si>
  <si>
    <t>Wt. of Dish (G4) + Dry Sample (g)</t>
  </si>
  <si>
    <t>Wt. of Dish (2) + Wet Sample (g)</t>
  </si>
  <si>
    <t>Wt. of Dish (2) + Dry Sample (g)</t>
  </si>
  <si>
    <t>Wt. of Wet Sample, in Dish (g)</t>
  </si>
  <si>
    <t>Wt. of  Wet Sample, in Dish (g)</t>
  </si>
  <si>
    <t>Wt. of Dish (P4) + Wet Sample (g)</t>
  </si>
  <si>
    <t>Wt. of Dish (P4) + Dry Sample (g)</t>
  </si>
  <si>
    <t>Wt. of Dish (P05) + Dry Sample (g)</t>
  </si>
  <si>
    <t>Wt. of Dish (P05) + Sample (g)</t>
  </si>
  <si>
    <t>Dish (P05) tare + Wet Sample (g)</t>
  </si>
  <si>
    <t>Wt. of Dish (TB) + Wet Sample (g)</t>
  </si>
  <si>
    <t>Wt. of Dish (TB) + Dry Sample (g)</t>
  </si>
  <si>
    <t>Location</t>
  </si>
  <si>
    <t>Specific Cone was used</t>
  </si>
  <si>
    <t>Vertical Displacement (cm)</t>
  </si>
  <si>
    <t>* Sketches were recorded in notes</t>
  </si>
  <si>
    <t>See Appendix A, 8"=0.2m dia.</t>
  </si>
  <si>
    <t>Sample Description</t>
  </si>
  <si>
    <t>Demerara Clay</t>
  </si>
  <si>
    <t xml:space="preserve"> Liquid Limit (LL)</t>
  </si>
  <si>
    <t>Plastic Limit</t>
  </si>
  <si>
    <t>L12</t>
  </si>
  <si>
    <t>Wt. Of Dish +Wet Soil (g)</t>
  </si>
  <si>
    <t>Weigh of Dry Soil (g)</t>
  </si>
  <si>
    <t>Percentage Moisture (%)</t>
  </si>
  <si>
    <t>No. of Blows</t>
  </si>
  <si>
    <t>5B</t>
  </si>
  <si>
    <t>M/G4</t>
  </si>
  <si>
    <t>Avg.</t>
  </si>
  <si>
    <t>Summary</t>
  </si>
  <si>
    <t>Liquid Limit</t>
  </si>
  <si>
    <t>Plasticity Index</t>
  </si>
  <si>
    <t>Liquid Limit (LL)</t>
  </si>
  <si>
    <t>M</t>
  </si>
  <si>
    <t>B1</t>
  </si>
  <si>
    <t>P7</t>
  </si>
  <si>
    <t>P5</t>
  </si>
  <si>
    <t>P6</t>
  </si>
  <si>
    <t>Z</t>
  </si>
  <si>
    <t>R</t>
  </si>
  <si>
    <t>A2</t>
  </si>
  <si>
    <t>Sample Location7</t>
  </si>
  <si>
    <t>A12</t>
  </si>
  <si>
    <t>J</t>
  </si>
  <si>
    <t>U</t>
  </si>
  <si>
    <t>M2</t>
  </si>
  <si>
    <t>NG</t>
  </si>
  <si>
    <t>X</t>
  </si>
  <si>
    <t>P10</t>
  </si>
  <si>
    <t>Lw, Length of wet soil</t>
  </si>
  <si>
    <t>Ld, Length of dry soil</t>
  </si>
  <si>
    <t>LS, Linear Shrinkage</t>
  </si>
  <si>
    <t>LS, Linear Shrinkage, rounded</t>
  </si>
  <si>
    <t>Bar Linear Shrinkage , Mangrove Area</t>
  </si>
  <si>
    <t>Bar Linear Shrinkage , Mudflat</t>
  </si>
  <si>
    <t>Wt of 200 Sieve (g)</t>
  </si>
  <si>
    <t>Wt.of Sample + Pan before washing (g)</t>
  </si>
  <si>
    <t>Wt.of Sample + Pan after washing (g)</t>
  </si>
  <si>
    <t>Weight Retained in 200 sieve (g)</t>
  </si>
  <si>
    <t>Percentage Retained (%)</t>
  </si>
  <si>
    <t>Test No. 1</t>
  </si>
  <si>
    <t>Test No. 2</t>
  </si>
  <si>
    <t>Sample Weight (g)</t>
  </si>
  <si>
    <t>Wt of Pan (200 Sieve) (g)</t>
  </si>
  <si>
    <t>No. 200 Sieve Used only with Pan</t>
  </si>
  <si>
    <t>Wet Sieve Method, ASTM  D 6913</t>
  </si>
  <si>
    <t xml:space="preserve">Particle Size Distribution Using Hydrometer Analysis </t>
  </si>
  <si>
    <t>ASTM D7928</t>
  </si>
  <si>
    <t>Project Name:</t>
  </si>
  <si>
    <t>Sample #:</t>
  </si>
  <si>
    <t>Location:</t>
  </si>
  <si>
    <t xml:space="preserve"> Sample Depth:</t>
  </si>
  <si>
    <t>Description:</t>
  </si>
  <si>
    <t>Boring No:</t>
  </si>
  <si>
    <t>Estimated Moist Mass</t>
  </si>
  <si>
    <t>Dry Mass of Soil from Water Content</t>
  </si>
  <si>
    <t>Dry Mass of Soil Direct Meas.</t>
  </si>
  <si>
    <t>W (%)</t>
  </si>
  <si>
    <t>Tare #:</t>
  </si>
  <si>
    <t>%est:</t>
  </si>
  <si>
    <t>Wet Soil + Tare (g):</t>
  </si>
  <si>
    <t>M + Tare (g):</t>
  </si>
  <si>
    <t>M (g):</t>
  </si>
  <si>
    <t xml:space="preserve"> Tare Mass (g):</t>
  </si>
  <si>
    <t>Tare Mass (g):</t>
  </si>
  <si>
    <t>Dry Soil + Tare (g):</t>
  </si>
  <si>
    <t xml:space="preserve"> M (g):</t>
  </si>
  <si>
    <t>Mass of Moist Soil, M (g)</t>
  </si>
  <si>
    <t>Dry Mass, M (g):</t>
  </si>
  <si>
    <t>Dry Mass (g):</t>
  </si>
  <si>
    <t>Water Content (%):</t>
  </si>
  <si>
    <t>Dispersion/Mixing</t>
  </si>
  <si>
    <t xml:space="preserve">Date Dipersion Mixed: </t>
  </si>
  <si>
    <t xml:space="preserve">Despersion Device: </t>
  </si>
  <si>
    <t>Cup &amp; Mixer</t>
  </si>
  <si>
    <t xml:space="preserve"> Air Jet</t>
  </si>
  <si>
    <t xml:space="preserve">Mixing Method </t>
  </si>
  <si>
    <t>Agitator</t>
  </si>
  <si>
    <t xml:space="preserve">Amount of Despersion (g): </t>
  </si>
  <si>
    <t>Tipping Time</t>
  </si>
  <si>
    <t>Direct Add</t>
  </si>
  <si>
    <t>Dissolved in 100mL Water</t>
  </si>
  <si>
    <t>Hydrometer ID</t>
  </si>
  <si>
    <t>No. 200 Wash Information</t>
  </si>
  <si>
    <t>151 H</t>
  </si>
  <si>
    <t>152H</t>
  </si>
  <si>
    <t>Container #:</t>
  </si>
  <si>
    <t>Container Mass (g):</t>
  </si>
  <si>
    <t>Sedimenataion Cylinder #:</t>
  </si>
  <si>
    <t>Dry Mass Retained After Washing + Tare (g):</t>
  </si>
  <si>
    <t>Starting Date:</t>
  </si>
  <si>
    <t>Dry Mass Retained After WashingOver #200 Sieve (g):</t>
  </si>
  <si>
    <t>Starting Time:</t>
  </si>
  <si>
    <t>% Passing the # 200 Sieve</t>
  </si>
  <si>
    <t>Specific Gravity of Soil</t>
  </si>
  <si>
    <t>Assumed</t>
  </si>
  <si>
    <t>Measured</t>
  </si>
  <si>
    <t>R152</t>
  </si>
  <si>
    <t>Elapsed Time, T (min)</t>
  </si>
  <si>
    <r>
      <t>Hydrometer Reading, r</t>
    </r>
    <r>
      <rPr>
        <b/>
        <vertAlign val="subscript"/>
        <sz val="10"/>
        <rFont val="Arial"/>
        <family val="2"/>
      </rPr>
      <t>m</t>
    </r>
  </si>
  <si>
    <t>Temp (°C)</t>
  </si>
  <si>
    <r>
      <t>Offset, r</t>
    </r>
    <r>
      <rPr>
        <b/>
        <vertAlign val="subscript"/>
        <sz val="10"/>
        <rFont val="Arial"/>
        <family val="2"/>
      </rPr>
      <t>dm</t>
    </r>
  </si>
  <si>
    <r>
      <t>Effective Depth, H</t>
    </r>
    <r>
      <rPr>
        <b/>
        <vertAlign val="subscript"/>
        <sz val="10"/>
        <rFont val="Arial"/>
        <family val="2"/>
      </rPr>
      <t>m</t>
    </r>
  </si>
  <si>
    <t>D (mm)</t>
  </si>
  <si>
    <r>
      <t>Mass Percent (%) Finer, N</t>
    </r>
    <r>
      <rPr>
        <b/>
        <vertAlign val="subscript"/>
        <sz val="10"/>
        <rFont val="Arial"/>
        <family val="2"/>
      </rPr>
      <t>m</t>
    </r>
  </si>
  <si>
    <t>meniscus correction</t>
  </si>
  <si>
    <t>volume of hydrometer bulb</t>
  </si>
  <si>
    <t>cross sectional area of cylinder</t>
  </si>
  <si>
    <t xml:space="preserve">viscosity of water </t>
  </si>
  <si>
    <t>volume of suspension</t>
  </si>
  <si>
    <t>viscosity of water</t>
  </si>
  <si>
    <t>mass density of water</t>
  </si>
  <si>
    <t>acceleration due to gravity</t>
  </si>
  <si>
    <t>Sieve</t>
  </si>
  <si>
    <t>Diameter (mm)</t>
  </si>
  <si>
    <t>SIEVE RESULTS:</t>
  </si>
  <si>
    <t>% Finer</t>
  </si>
  <si>
    <t>Tested By:</t>
  </si>
  <si>
    <t>Calculated By:</t>
  </si>
  <si>
    <t>Checked By:</t>
  </si>
  <si>
    <t>Mangrove-Mudflat Coastlines Impacted by Sea Level Rise (SLR) &amp; Storms:Hydrodynamics and Sediment Dynamics, Chateau Margot Mangroves, Guyana</t>
  </si>
  <si>
    <t>Chateau Margot, E.C.D, Guyana</t>
  </si>
  <si>
    <t>Frame # 1 from Mangrove Edge</t>
  </si>
  <si>
    <t>1m</t>
  </si>
  <si>
    <t>AVERAGE</t>
  </si>
  <si>
    <t>Frame # 2 from Mangrove Edge</t>
  </si>
  <si>
    <t>Frame # 3 from Mangrove Edge</t>
  </si>
  <si>
    <t>Frame # 4 from Mangrove Edge</t>
  </si>
  <si>
    <t>Frame # 5 from Mangrove Edge</t>
  </si>
  <si>
    <t>Frame # 1 from Seawall</t>
  </si>
  <si>
    <t>Percentage Passing No. 200 sieve (%)</t>
  </si>
  <si>
    <t xml:space="preserve">Dispersion Device: </t>
  </si>
  <si>
    <t>Frame # 2 from Seawall</t>
  </si>
  <si>
    <t>Frame # 3 from Seawall</t>
  </si>
  <si>
    <t>Pan</t>
  </si>
  <si>
    <t>Specific Gravity (-)</t>
  </si>
  <si>
    <t>Organic content (%)</t>
  </si>
  <si>
    <t>Slump (cm)</t>
  </si>
  <si>
    <t>Percent passing No. 200 sieve (%)</t>
  </si>
  <si>
    <r>
      <t>Bulk Density (kg/m</t>
    </r>
    <r>
      <rPr>
        <b/>
        <vertAlign val="superscript"/>
        <sz val="11"/>
        <color rgb="FF000000"/>
        <rFont val="Calibri"/>
        <family val="2"/>
      </rPr>
      <t>3</t>
    </r>
    <r>
      <rPr>
        <b/>
        <sz val="11"/>
        <color rgb="FF000000"/>
        <rFont val="Calibri"/>
        <family val="2"/>
      </rPr>
      <t>)</t>
    </r>
  </si>
  <si>
    <r>
      <t>Dry Density (kg/m</t>
    </r>
    <r>
      <rPr>
        <b/>
        <vertAlign val="superscript"/>
        <sz val="11"/>
        <color rgb="FF000000"/>
        <rFont val="Calibri"/>
        <family val="2"/>
      </rPr>
      <t>3</t>
    </r>
    <r>
      <rPr>
        <b/>
        <sz val="11"/>
        <color rgb="FF000000"/>
        <rFont val="Calibri"/>
        <family val="2"/>
      </rPr>
      <t>)</t>
    </r>
  </si>
  <si>
    <t>Stations</t>
  </si>
  <si>
    <t>Clay Content</t>
  </si>
  <si>
    <t>Dry Density (Alt)</t>
  </si>
  <si>
    <t>Particule Diameter for the respective Stations (mm)</t>
  </si>
  <si>
    <t>MB1</t>
  </si>
  <si>
    <t>MB2</t>
  </si>
  <si>
    <t>MB3</t>
  </si>
  <si>
    <t>MB4</t>
  </si>
  <si>
    <t>MB5</t>
  </si>
  <si>
    <t>MB6</t>
  </si>
  <si>
    <t>MB7</t>
  </si>
  <si>
    <t>MB8</t>
  </si>
  <si>
    <t>Table 1: Overall Summary of Field Measurements</t>
  </si>
  <si>
    <t>Table 2: Particle Diameters</t>
  </si>
  <si>
    <t>Moisture (%) wrt. Oven dried sample</t>
  </si>
  <si>
    <t>Moisture (%) wrt. Wet sample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</si>
</sst>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[$-409]d\-mmm\-yy;@"/>
    <numFmt numFmtId="165" formatCode="0.0"/>
    <numFmt numFmtId="166" formatCode="0.0000"/>
    <numFmt numFmtId="167" formatCode="0.000"/>
    <numFmt numFmtId="168" formatCode="m/d"/>
    <numFmt numFmtId="169" formatCode="0.0000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trike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vertAlign val="subscript"/>
      <sz val="10"/>
      <name val="Arial"/>
      <family val="2"/>
    </font>
    <font>
      <u/>
      <sz val="10"/>
      <name val="Arial"/>
      <family val="2"/>
    </font>
    <font>
      <sz val="10"/>
      <color indexed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vertAlign val="superscript"/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186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3" borderId="5" xfId="0" applyFill="1" applyBorder="1"/>
    <xf numFmtId="0" fontId="0" fillId="0" borderId="6" xfId="0" applyBorder="1" applyAlignment="1">
      <alignment horizontal="center" vertical="center"/>
    </xf>
    <xf numFmtId="0" fontId="0" fillId="0" borderId="6" xfId="0" applyBorder="1"/>
    <xf numFmtId="0" fontId="0" fillId="0" borderId="8" xfId="0" applyBorder="1"/>
    <xf numFmtId="0" fontId="1" fillId="0" borderId="1" xfId="0" applyFont="1" applyBorder="1" applyAlignment="1">
      <alignment horizontal="center"/>
    </xf>
    <xf numFmtId="0" fontId="1" fillId="3" borderId="5" xfId="0" applyFont="1" applyFill="1" applyBorder="1"/>
    <xf numFmtId="0" fontId="1" fillId="3" borderId="7" xfId="0" applyFont="1" applyFill="1" applyBorder="1"/>
    <xf numFmtId="0" fontId="0" fillId="0" borderId="0" xfId="0" applyAlignment="1">
      <alignment horizontal="left" wrapText="1"/>
    </xf>
    <xf numFmtId="0" fontId="1" fillId="3" borderId="0" xfId="0" applyFont="1" applyFill="1"/>
    <xf numFmtId="0" fontId="0" fillId="0" borderId="0" xfId="0" applyBorder="1"/>
    <xf numFmtId="0" fontId="1" fillId="0" borderId="0" xfId="0" applyFont="1" applyFill="1" applyBorder="1"/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/>
    <xf numFmtId="14" fontId="0" fillId="0" borderId="0" xfId="0" applyNumberFormat="1"/>
    <xf numFmtId="0" fontId="1" fillId="3" borderId="5" xfId="0" applyFont="1" applyFill="1" applyBorder="1" applyAlignment="1">
      <alignment wrapText="1"/>
    </xf>
    <xf numFmtId="0" fontId="0" fillId="0" borderId="1" xfId="0" applyBorder="1" applyAlignment="1">
      <alignment horizontal="right" vertical="center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0" xfId="0" applyBorder="1" applyAlignment="1">
      <alignment horizontal="left" wrapText="1"/>
    </xf>
    <xf numFmtId="0" fontId="0" fillId="0" borderId="1" xfId="0" applyBorder="1" applyAlignment="1">
      <alignment horizontal="center"/>
    </xf>
    <xf numFmtId="1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right"/>
    </xf>
    <xf numFmtId="0" fontId="2" fillId="0" borderId="0" xfId="0" applyFont="1" applyFill="1" applyBorder="1"/>
    <xf numFmtId="0" fontId="0" fillId="4" borderId="8" xfId="0" applyFill="1" applyBorder="1"/>
    <xf numFmtId="0" fontId="1" fillId="3" borderId="12" xfId="0" applyFont="1" applyFill="1" applyBorder="1"/>
    <xf numFmtId="0" fontId="1" fillId="3" borderId="1" xfId="0" applyFont="1" applyFill="1" applyBorder="1"/>
    <xf numFmtId="0" fontId="0" fillId="0" borderId="6" xfId="0" applyFont="1" applyBorder="1" applyAlignment="1">
      <alignment horizontal="right"/>
    </xf>
    <xf numFmtId="0" fontId="0" fillId="0" borderId="6" xfId="0" applyBorder="1" applyAlignment="1">
      <alignment horizontal="right" vertical="center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4" borderId="14" xfId="0" applyFill="1" applyBorder="1"/>
    <xf numFmtId="0" fontId="0" fillId="4" borderId="13" xfId="0" applyFill="1" applyBorder="1"/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0" xfId="0" applyFont="1"/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3" borderId="15" xfId="0" applyFill="1" applyBorder="1"/>
    <xf numFmtId="0" fontId="1" fillId="3" borderId="26" xfId="0" applyFont="1" applyFill="1" applyBorder="1"/>
    <xf numFmtId="0" fontId="1" fillId="3" borderId="27" xfId="0" applyFont="1" applyFill="1" applyBorder="1"/>
    <xf numFmtId="14" fontId="0" fillId="0" borderId="0" xfId="0" applyNumberFormat="1" applyAlignment="1">
      <alignment horizontal="left"/>
    </xf>
    <xf numFmtId="0" fontId="0" fillId="0" borderId="11" xfId="0" applyBorder="1" applyAlignment="1">
      <alignment horizontal="center" vertical="center"/>
    </xf>
    <xf numFmtId="0" fontId="1" fillId="3" borderId="28" xfId="0" applyFont="1" applyFill="1" applyBorder="1"/>
    <xf numFmtId="0" fontId="0" fillId="0" borderId="29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3" borderId="0" xfId="0" applyFont="1" applyFill="1" applyBorder="1"/>
    <xf numFmtId="0" fontId="1" fillId="3" borderId="2" xfId="0" applyFont="1" applyFill="1" applyBorder="1"/>
    <xf numFmtId="0" fontId="0" fillId="0" borderId="4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3" borderId="20" xfId="0" applyFont="1" applyFill="1" applyBorder="1"/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33" xfId="0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1" fillId="3" borderId="0" xfId="0" applyFont="1" applyFill="1" applyAlignment="1">
      <alignment horizontal="center"/>
    </xf>
    <xf numFmtId="0" fontId="0" fillId="0" borderId="0" xfId="0" applyFill="1" applyBorder="1" applyAlignment="1">
      <alignment horizontal="left" wrapText="1"/>
    </xf>
    <xf numFmtId="0" fontId="0" fillId="0" borderId="0" xfId="0" applyFill="1"/>
    <xf numFmtId="0" fontId="5" fillId="0" borderId="0" xfId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right" vertical="center"/>
    </xf>
    <xf numFmtId="0" fontId="9" fillId="0" borderId="30" xfId="1" applyFont="1" applyBorder="1" applyAlignment="1">
      <alignment vertical="center"/>
    </xf>
    <xf numFmtId="0" fontId="10" fillId="0" borderId="30" xfId="1" applyFont="1" applyBorder="1" applyAlignment="1">
      <alignment vertical="center"/>
    </xf>
    <xf numFmtId="0" fontId="9" fillId="0" borderId="30" xfId="1" applyFont="1" applyBorder="1" applyAlignment="1">
      <alignment horizontal="left" vertical="center"/>
    </xf>
    <xf numFmtId="0" fontId="9" fillId="0" borderId="10" xfId="1" applyFont="1" applyBorder="1" applyAlignment="1">
      <alignment vertical="center"/>
    </xf>
    <xf numFmtId="0" fontId="10" fillId="0" borderId="10" xfId="1" applyFont="1" applyBorder="1" applyAlignment="1">
      <alignment vertical="center"/>
    </xf>
    <xf numFmtId="0" fontId="5" fillId="0" borderId="30" xfId="1" applyBorder="1" applyAlignment="1">
      <alignment horizontal="center" vertical="center"/>
    </xf>
    <xf numFmtId="0" fontId="8" fillId="0" borderId="30" xfId="1" applyFont="1" applyBorder="1" applyAlignment="1">
      <alignment horizontal="right" vertical="center"/>
    </xf>
    <xf numFmtId="0" fontId="10" fillId="0" borderId="30" xfId="1" applyFont="1" applyBorder="1" applyAlignment="1">
      <alignment horizontal="left" vertical="center"/>
    </xf>
    <xf numFmtId="0" fontId="9" fillId="0" borderId="30" xfId="1" applyFont="1" applyBorder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9" fillId="0" borderId="0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10" fillId="0" borderId="0" xfId="1" applyFont="1" applyBorder="1" applyAlignment="1">
      <alignment horizontal="left" vertical="center"/>
    </xf>
    <xf numFmtId="0" fontId="8" fillId="0" borderId="0" xfId="1" applyFont="1" applyBorder="1" applyAlignment="1">
      <alignment horizontal="right" vertical="center"/>
    </xf>
    <xf numFmtId="2" fontId="9" fillId="0" borderId="30" xfId="1" applyNumberFormat="1" applyFont="1" applyBorder="1" applyAlignment="1">
      <alignment vertical="center"/>
    </xf>
    <xf numFmtId="0" fontId="5" fillId="0" borderId="10" xfId="1" applyFont="1" applyBorder="1" applyAlignment="1">
      <alignment vertical="center"/>
    </xf>
    <xf numFmtId="0" fontId="5" fillId="0" borderId="10" xfId="1" applyBorder="1" applyAlignment="1">
      <alignment vertical="center"/>
    </xf>
    <xf numFmtId="0" fontId="5" fillId="0" borderId="0" xfId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6" borderId="0" xfId="1" applyFont="1" applyFill="1" applyBorder="1" applyAlignment="1">
      <alignment horizontal="center" vertical="center"/>
    </xf>
    <xf numFmtId="0" fontId="10" fillId="0" borderId="30" xfId="1" applyFont="1" applyBorder="1" applyAlignment="1">
      <alignment horizontal="center" vertical="center"/>
    </xf>
    <xf numFmtId="0" fontId="5" fillId="0" borderId="0" xfId="1" applyFont="1" applyBorder="1" applyAlignment="1">
      <alignment horizontal="left" vertical="center"/>
    </xf>
    <xf numFmtId="0" fontId="5" fillId="6" borderId="0" xfId="1" applyFill="1" applyBorder="1" applyAlignment="1">
      <alignment horizontal="center" vertical="center"/>
    </xf>
    <xf numFmtId="0" fontId="5" fillId="0" borderId="30" xfId="1" applyFont="1" applyBorder="1" applyAlignment="1">
      <alignment horizontal="left" vertical="center"/>
    </xf>
    <xf numFmtId="0" fontId="5" fillId="0" borderId="30" xfId="1" applyFont="1" applyBorder="1" applyAlignment="1">
      <alignment horizontal="center" vertical="center"/>
    </xf>
    <xf numFmtId="164" fontId="5" fillId="0" borderId="0" xfId="1" applyNumberFormat="1" applyBorder="1" applyAlignment="1">
      <alignment horizontal="center" vertical="center"/>
    </xf>
    <xf numFmtId="0" fontId="5" fillId="0" borderId="0" xfId="1" applyFont="1" applyBorder="1" applyAlignment="1">
      <alignment horizontal="right" vertical="center"/>
    </xf>
    <xf numFmtId="20" fontId="5" fillId="0" borderId="0" xfId="1" applyNumberFormat="1" applyBorder="1" applyAlignment="1">
      <alignment horizontal="center" vertical="center"/>
    </xf>
    <xf numFmtId="0" fontId="8" fillId="0" borderId="0" xfId="1" applyFont="1" applyBorder="1" applyAlignment="1">
      <alignment horizontal="center" vertical="center" wrapText="1"/>
    </xf>
    <xf numFmtId="0" fontId="8" fillId="0" borderId="34" xfId="1" applyFont="1" applyBorder="1" applyAlignment="1">
      <alignment horizontal="center" vertical="center" wrapText="1"/>
    </xf>
    <xf numFmtId="0" fontId="8" fillId="0" borderId="17" xfId="1" applyFont="1" applyBorder="1" applyAlignment="1">
      <alignment horizontal="center" vertical="center" wrapText="1"/>
    </xf>
    <xf numFmtId="0" fontId="8" fillId="0" borderId="34" xfId="1" applyFont="1" applyFill="1" applyBorder="1" applyAlignment="1">
      <alignment horizontal="center" vertical="center" wrapText="1"/>
    </xf>
    <xf numFmtId="0" fontId="8" fillId="0" borderId="17" xfId="1" applyFont="1" applyFill="1" applyBorder="1" applyAlignment="1">
      <alignment horizontal="center" vertical="center" wrapText="1"/>
    </xf>
    <xf numFmtId="0" fontId="8" fillId="0" borderId="15" xfId="1" applyFont="1" applyFill="1" applyBorder="1" applyAlignment="1">
      <alignment horizontal="center" vertical="center" wrapText="1"/>
    </xf>
    <xf numFmtId="0" fontId="5" fillId="0" borderId="0" xfId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165" fontId="9" fillId="0" borderId="35" xfId="1" applyNumberFormat="1" applyFont="1" applyBorder="1" applyAlignment="1">
      <alignment horizontal="center" vertical="center"/>
    </xf>
    <xf numFmtId="1" fontId="9" fillId="0" borderId="36" xfId="1" applyNumberFormat="1" applyFont="1" applyBorder="1" applyAlignment="1">
      <alignment horizontal="center" vertical="center"/>
    </xf>
    <xf numFmtId="165" fontId="9" fillId="0" borderId="26" xfId="1" applyNumberFormat="1" applyFont="1" applyFill="1" applyBorder="1" applyAlignment="1">
      <alignment horizontal="center" vertical="center"/>
    </xf>
    <xf numFmtId="166" fontId="9" fillId="0" borderId="36" xfId="1" applyNumberFormat="1" applyFont="1" applyFill="1" applyBorder="1" applyAlignment="1">
      <alignment horizontal="center" vertical="center"/>
    </xf>
    <xf numFmtId="165" fontId="9" fillId="0" borderId="36" xfId="1" applyNumberFormat="1" applyFont="1" applyFill="1" applyBorder="1" applyAlignment="1">
      <alignment horizontal="center" vertical="center"/>
    </xf>
    <xf numFmtId="167" fontId="9" fillId="0" borderId="36" xfId="1" applyNumberFormat="1" applyFont="1" applyFill="1" applyBorder="1" applyAlignment="1">
      <alignment horizontal="center" vertical="center"/>
    </xf>
    <xf numFmtId="1" fontId="9" fillId="0" borderId="26" xfId="1" applyNumberFormat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1" fontId="9" fillId="0" borderId="35" xfId="1" applyNumberFormat="1" applyFont="1" applyBorder="1" applyAlignment="1">
      <alignment horizontal="center" vertical="center"/>
    </xf>
    <xf numFmtId="1" fontId="9" fillId="0" borderId="36" xfId="1" quotePrefix="1" applyNumberFormat="1" applyFont="1" applyBorder="1" applyAlignment="1">
      <alignment horizontal="center" vertical="center"/>
    </xf>
    <xf numFmtId="1" fontId="9" fillId="0" borderId="16" xfId="1" applyNumberFormat="1" applyFont="1" applyBorder="1" applyAlignment="1">
      <alignment horizontal="center" vertical="center"/>
    </xf>
    <xf numFmtId="1" fontId="9" fillId="0" borderId="37" xfId="1" applyNumberFormat="1" applyFont="1" applyBorder="1" applyAlignment="1">
      <alignment horizontal="center" vertical="center"/>
    </xf>
    <xf numFmtId="165" fontId="9" fillId="0" borderId="37" xfId="1" applyNumberFormat="1" applyFont="1" applyFill="1" applyBorder="1" applyAlignment="1">
      <alignment horizontal="center" vertical="center"/>
    </xf>
    <xf numFmtId="167" fontId="9" fillId="0" borderId="37" xfId="1" applyNumberFormat="1" applyFont="1" applyFill="1" applyBorder="1" applyAlignment="1">
      <alignment horizontal="center" vertical="center"/>
    </xf>
    <xf numFmtId="0" fontId="12" fillId="0" borderId="0" xfId="1" applyFont="1" applyBorder="1" applyAlignment="1">
      <alignment horizontal="center" vertical="center" wrapText="1"/>
    </xf>
    <xf numFmtId="168" fontId="10" fillId="0" borderId="30" xfId="1" applyNumberFormat="1" applyFont="1" applyBorder="1" applyAlignment="1">
      <alignment horizontal="right" vertical="center"/>
    </xf>
    <xf numFmtId="1" fontId="9" fillId="0" borderId="30" xfId="1" applyNumberFormat="1" applyFont="1" applyBorder="1" applyAlignment="1">
      <alignment horizontal="center" vertical="center"/>
    </xf>
    <xf numFmtId="169" fontId="9" fillId="0" borderId="30" xfId="1" applyNumberFormat="1" applyFont="1" applyBorder="1" applyAlignment="1">
      <alignment horizontal="center" vertical="center"/>
    </xf>
    <xf numFmtId="169" fontId="13" fillId="0" borderId="30" xfId="1" applyNumberFormat="1" applyFont="1" applyBorder="1" applyAlignment="1">
      <alignment horizontal="center" vertical="center"/>
    </xf>
    <xf numFmtId="167" fontId="13" fillId="0" borderId="30" xfId="1" applyNumberFormat="1" applyFont="1" applyBorder="1" applyAlignment="1">
      <alignment horizontal="center" vertical="center"/>
    </xf>
    <xf numFmtId="0" fontId="13" fillId="0" borderId="30" xfId="1" applyFont="1" applyBorder="1" applyAlignment="1">
      <alignment horizontal="center" vertical="center"/>
    </xf>
    <xf numFmtId="168" fontId="10" fillId="0" borderId="38" xfId="1" applyNumberFormat="1" applyFont="1" applyBorder="1" applyAlignment="1">
      <alignment horizontal="right" vertical="center"/>
    </xf>
    <xf numFmtId="0" fontId="9" fillId="0" borderId="38" xfId="1" applyFont="1" applyBorder="1" applyAlignment="1">
      <alignment horizontal="center" vertical="center"/>
    </xf>
    <xf numFmtId="1" fontId="9" fillId="0" borderId="38" xfId="1" quotePrefix="1" applyNumberFormat="1" applyFont="1" applyBorder="1" applyAlignment="1">
      <alignment horizontal="right" vertical="center"/>
    </xf>
    <xf numFmtId="169" fontId="9" fillId="0" borderId="38" xfId="1" applyNumberFormat="1" applyFont="1" applyBorder="1" applyAlignment="1">
      <alignment horizontal="center" vertical="center"/>
    </xf>
    <xf numFmtId="169" fontId="13" fillId="0" borderId="38" xfId="1" applyNumberFormat="1" applyFont="1" applyBorder="1" applyAlignment="1">
      <alignment horizontal="center" vertical="center"/>
    </xf>
    <xf numFmtId="167" fontId="13" fillId="0" borderId="38" xfId="1" applyNumberFormat="1" applyFont="1" applyBorder="1" applyAlignment="1">
      <alignment horizontal="center" vertical="center"/>
    </xf>
    <xf numFmtId="0" fontId="13" fillId="0" borderId="38" xfId="1" applyFont="1" applyBorder="1" applyAlignment="1">
      <alignment horizontal="center" vertical="center"/>
    </xf>
    <xf numFmtId="168" fontId="5" fillId="0" borderId="0" xfId="1" applyNumberFormat="1" applyBorder="1" applyAlignment="1">
      <alignment horizontal="center" vertical="center"/>
    </xf>
    <xf numFmtId="0" fontId="5" fillId="0" borderId="0" xfId="1" applyBorder="1" applyAlignment="1">
      <alignment horizontal="center" vertical="center" wrapText="1"/>
    </xf>
    <xf numFmtId="169" fontId="5" fillId="0" borderId="0" xfId="1" applyNumberFormat="1" applyBorder="1" applyAlignment="1">
      <alignment horizontal="center" vertical="center"/>
    </xf>
    <xf numFmtId="0" fontId="8" fillId="0" borderId="0" xfId="1" applyFont="1" applyAlignment="1">
      <alignment vertical="center" wrapText="1"/>
    </xf>
    <xf numFmtId="0" fontId="8" fillId="0" borderId="21" xfId="1" applyFont="1" applyBorder="1" applyAlignment="1">
      <alignment horizontal="center" vertical="center" wrapText="1"/>
    </xf>
    <xf numFmtId="0" fontId="9" fillId="0" borderId="30" xfId="1" applyFont="1" applyBorder="1" applyAlignment="1">
      <alignment horizontal="center" vertical="center" wrapText="1"/>
    </xf>
    <xf numFmtId="165" fontId="5" fillId="0" borderId="0" xfId="1" applyNumberFormat="1" applyBorder="1" applyAlignment="1">
      <alignment horizontal="center" vertical="center"/>
    </xf>
    <xf numFmtId="0" fontId="9" fillId="0" borderId="10" xfId="1" applyFont="1" applyBorder="1" applyAlignment="1">
      <alignment horizontal="center" vertical="center" wrapText="1"/>
    </xf>
    <xf numFmtId="20" fontId="14" fillId="0" borderId="0" xfId="1" applyNumberFormat="1" applyFont="1" applyBorder="1" applyAlignment="1">
      <alignment horizontal="center" vertical="center" wrapText="1"/>
    </xf>
    <xf numFmtId="168" fontId="8" fillId="0" borderId="0" xfId="1" applyNumberFormat="1" applyFont="1" applyBorder="1" applyAlignment="1">
      <alignment horizontal="left" vertical="center"/>
    </xf>
    <xf numFmtId="20" fontId="8" fillId="0" borderId="0" xfId="1" applyNumberFormat="1" applyFont="1" applyBorder="1" applyAlignment="1">
      <alignment horizontal="left" vertical="center"/>
    </xf>
    <xf numFmtId="0" fontId="9" fillId="0" borderId="38" xfId="1" applyFont="1" applyBorder="1" applyAlignment="1">
      <alignment horizontal="center" vertical="center" wrapText="1"/>
    </xf>
    <xf numFmtId="0" fontId="14" fillId="0" borderId="0" xfId="1" applyFont="1" applyBorder="1" applyAlignment="1">
      <alignment horizontal="center" vertical="center" wrapText="1"/>
    </xf>
    <xf numFmtId="0" fontId="15" fillId="0" borderId="0" xfId="1" applyFont="1" applyBorder="1" applyAlignment="1">
      <alignment horizontal="left" vertical="center"/>
    </xf>
    <xf numFmtId="0" fontId="5" fillId="0" borderId="0" xfId="1" applyAlignment="1">
      <alignment horizontal="left" vertical="center"/>
    </xf>
    <xf numFmtId="0" fontId="1" fillId="0" borderId="0" xfId="0" applyFont="1" applyAlignment="1">
      <alignment horizontal="left" wrapText="1"/>
    </xf>
    <xf numFmtId="22" fontId="5" fillId="0" borderId="0" xfId="1" applyNumberFormat="1" applyBorder="1" applyAlignment="1">
      <alignment horizontal="center" vertical="center"/>
    </xf>
    <xf numFmtId="1" fontId="9" fillId="5" borderId="36" xfId="1" applyNumberFormat="1" applyFont="1" applyFill="1" applyBorder="1" applyAlignment="1">
      <alignment horizontal="center" vertical="center"/>
    </xf>
    <xf numFmtId="1" fontId="9" fillId="0" borderId="36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169" fontId="17" fillId="0" borderId="1" xfId="0" applyNumberFormat="1" applyFont="1" applyBorder="1" applyAlignment="1">
      <alignment horizontal="center" vertical="center"/>
    </xf>
    <xf numFmtId="169" fontId="16" fillId="0" borderId="1" xfId="0" applyNumberFormat="1" applyFont="1" applyBorder="1" applyAlignment="1">
      <alignment horizontal="center" vertical="center"/>
    </xf>
    <xf numFmtId="169" fontId="17" fillId="0" borderId="1" xfId="0" applyNumberFormat="1" applyFont="1" applyBorder="1" applyAlignment="1">
      <alignment horizontal="center" vertical="center" wrapText="1"/>
    </xf>
    <xf numFmtId="169" fontId="16" fillId="0" borderId="0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9" fontId="17" fillId="0" borderId="9" xfId="0" applyNumberFormat="1" applyFont="1" applyBorder="1" applyAlignment="1">
      <alignment horizontal="center" vertical="center"/>
    </xf>
    <xf numFmtId="169" fontId="17" fillId="0" borderId="1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" xfId="0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1" fillId="3" borderId="0" xfId="0" applyFont="1" applyFill="1" applyBorder="1" applyAlignment="1">
      <alignment horizontal="left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1" fillId="3" borderId="21" xfId="0" applyFont="1" applyFill="1" applyBorder="1" applyAlignment="1">
      <alignment horizontal="center"/>
    </xf>
    <xf numFmtId="0" fontId="1" fillId="3" borderId="22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3" borderId="30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 wrapText="1"/>
    </xf>
    <xf numFmtId="0" fontId="9" fillId="0" borderId="0" xfId="1" applyFont="1" applyBorder="1" applyAlignment="1">
      <alignment horizontal="left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worksheet" Target="worksheets/sheet12.xml"/><Relationship Id="rId18" Type="http://schemas.openxmlformats.org/officeDocument/2006/relationships/worksheet" Target="worksheets/sheet17.xml"/><Relationship Id="rId3" Type="http://schemas.openxmlformats.org/officeDocument/2006/relationships/worksheet" Target="worksheets/sheet2.xml"/><Relationship Id="rId21" Type="http://schemas.openxmlformats.org/officeDocument/2006/relationships/theme" Target="theme/theme1.xml"/><Relationship Id="rId7" Type="http://schemas.openxmlformats.org/officeDocument/2006/relationships/worksheet" Target="worksheets/sheet6.xml"/><Relationship Id="rId12" Type="http://schemas.openxmlformats.org/officeDocument/2006/relationships/worksheet" Target="worksheets/sheet11.xml"/><Relationship Id="rId17" Type="http://schemas.openxmlformats.org/officeDocument/2006/relationships/worksheet" Target="worksheets/sheet16.xml"/><Relationship Id="rId2" Type="http://schemas.openxmlformats.org/officeDocument/2006/relationships/chartsheet" Target="chartsheets/sheet1.xml"/><Relationship Id="rId16" Type="http://schemas.openxmlformats.org/officeDocument/2006/relationships/worksheet" Target="worksheets/sheet15.xml"/><Relationship Id="rId20" Type="http://schemas.openxmlformats.org/officeDocument/2006/relationships/worksheet" Target="worksheets/sheet1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worksheet" Target="worksheets/sheet10.xml"/><Relationship Id="rId24" Type="http://schemas.openxmlformats.org/officeDocument/2006/relationships/calcChain" Target="calcChain.xml"/><Relationship Id="rId5" Type="http://schemas.openxmlformats.org/officeDocument/2006/relationships/worksheet" Target="worksheets/sheet4.xml"/><Relationship Id="rId15" Type="http://schemas.openxmlformats.org/officeDocument/2006/relationships/worksheet" Target="worksheets/sheet14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9.xml"/><Relationship Id="rId19" Type="http://schemas.openxmlformats.org/officeDocument/2006/relationships/worksheet" Target="worksheets/sheet18.xml"/><Relationship Id="rId4" Type="http://schemas.openxmlformats.org/officeDocument/2006/relationships/worksheet" Target="worksheets/sheet3.xml"/><Relationship Id="rId9" Type="http://schemas.openxmlformats.org/officeDocument/2006/relationships/worksheet" Target="worksheets/sheet8.xml"/><Relationship Id="rId14" Type="http://schemas.openxmlformats.org/officeDocument/2006/relationships/worksheet" Target="worksheets/sheet13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2"/>
          <c:order val="2"/>
          <c:tx>
            <c:strRef>
              <c:f>Summary!$F$4</c:f>
              <c:strCache>
                <c:ptCount val="1"/>
                <c:pt idx="0">
                  <c:v>Organic content (%)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xVal>
            <c:numRef>
              <c:f>Summary!$F$5:$F$12</c:f>
              <c:numCache>
                <c:formatCode>0.00000</c:formatCode>
                <c:ptCount val="8"/>
                <c:pt idx="0">
                  <c:v>9.0913145676439875</c:v>
                </c:pt>
                <c:pt idx="1">
                  <c:v>18.103529880927447</c:v>
                </c:pt>
                <c:pt idx="2">
                  <c:v>6.4725735267224564</c:v>
                </c:pt>
                <c:pt idx="3">
                  <c:v>6.2841354565790315</c:v>
                </c:pt>
                <c:pt idx="4">
                  <c:v>3.8831757579949882</c:v>
                </c:pt>
                <c:pt idx="5">
                  <c:v>1.5117730922118624</c:v>
                </c:pt>
                <c:pt idx="6">
                  <c:v>3.4815242694092312</c:v>
                </c:pt>
                <c:pt idx="7">
                  <c:v>2.9493632441593038</c:v>
                </c:pt>
              </c:numCache>
            </c:numRef>
          </c:xVal>
          <c:yVal>
            <c:numRef>
              <c:f>Summary!$B$5:$B$12</c:f>
              <c:numCache>
                <c:formatCode>0.00000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FF-4683-9E1D-7267AB43254A}"/>
            </c:ext>
          </c:extLst>
        </c:ser>
        <c:ser>
          <c:idx val="4"/>
          <c:order val="4"/>
          <c:tx>
            <c:strRef>
              <c:f>Summary!$E$4</c:f>
              <c:strCache>
                <c:ptCount val="1"/>
                <c:pt idx="0">
                  <c:v>Specific Gravity (-)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accent5"/>
                </a:solidFill>
                <a:round/>
              </a:ln>
              <a:effectLst/>
            </c:spPr>
          </c:marker>
          <c:xVal>
            <c:numRef>
              <c:f>Summary!$E$5:$E$12</c:f>
              <c:numCache>
                <c:formatCode>0.00000</c:formatCode>
                <c:ptCount val="8"/>
                <c:pt idx="0">
                  <c:v>2.6716180686552837</c:v>
                </c:pt>
                <c:pt idx="1">
                  <c:v>2.6488385046921001</c:v>
                </c:pt>
                <c:pt idx="2">
                  <c:v>2.6471206852928288</c:v>
                </c:pt>
                <c:pt idx="3">
                  <c:v>2.6451544541477405</c:v>
                </c:pt>
                <c:pt idx="4">
                  <c:v>2.6582895861837623</c:v>
                </c:pt>
                <c:pt idx="5">
                  <c:v>2.6587222818510963</c:v>
                </c:pt>
                <c:pt idx="6">
                  <c:v>2.641571888375708</c:v>
                </c:pt>
                <c:pt idx="7">
                  <c:v>2.6780756238363352</c:v>
                </c:pt>
              </c:numCache>
            </c:numRef>
          </c:xVal>
          <c:yVal>
            <c:numRef>
              <c:f>Summary!$B$5:$B$12</c:f>
              <c:numCache>
                <c:formatCode>0.00000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DFF-4683-9E1D-7267AB43254A}"/>
            </c:ext>
          </c:extLst>
        </c:ser>
        <c:ser>
          <c:idx val="6"/>
          <c:order val="6"/>
          <c:tx>
            <c:strRef>
              <c:f>Summary!$L$4</c:f>
              <c:strCache>
                <c:ptCount val="1"/>
                <c:pt idx="0">
                  <c:v>Slump (cm)</c:v>
                </c:pt>
              </c:strCache>
            </c:strRef>
          </c:tx>
          <c:spPr>
            <a:ln w="2222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chemeClr val="accent1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Summary!$L$5:$L$12</c:f>
              <c:numCache>
                <c:formatCode>0.00000</c:formatCode>
                <c:ptCount val="8"/>
                <c:pt idx="0">
                  <c:v>2.6</c:v>
                </c:pt>
                <c:pt idx="1">
                  <c:v>5.7</c:v>
                </c:pt>
                <c:pt idx="2">
                  <c:v>4.2</c:v>
                </c:pt>
                <c:pt idx="3">
                  <c:v>8</c:v>
                </c:pt>
                <c:pt idx="4">
                  <c:v>8.6999999999999993</c:v>
                </c:pt>
                <c:pt idx="5">
                  <c:v>3.7</c:v>
                </c:pt>
                <c:pt idx="6">
                  <c:v>7.5</c:v>
                </c:pt>
                <c:pt idx="7">
                  <c:v>8.9</c:v>
                </c:pt>
              </c:numCache>
            </c:numRef>
          </c:xVal>
          <c:yVal>
            <c:numRef>
              <c:f>Summary!$B$5:$B$12</c:f>
              <c:numCache>
                <c:formatCode>0.00000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DFF-4683-9E1D-7267AB43254A}"/>
            </c:ext>
          </c:extLst>
        </c:ser>
        <c:ser>
          <c:idx val="7"/>
          <c:order val="7"/>
          <c:tx>
            <c:strRef>
              <c:f>Summary!$I$4</c:f>
              <c:strCache>
                <c:ptCount val="1"/>
                <c:pt idx="0">
                  <c:v>Liquid Limit</c:v>
                </c:pt>
              </c:strCache>
            </c:strRef>
          </c:tx>
          <c:spPr>
            <a:ln w="2222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dot"/>
            <c:size val="6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Summary!$I$5:$I$12</c:f>
              <c:numCache>
                <c:formatCode>0.00000</c:formatCode>
                <c:ptCount val="8"/>
                <c:pt idx="0">
                  <c:v>99</c:v>
                </c:pt>
                <c:pt idx="1">
                  <c:v>87</c:v>
                </c:pt>
                <c:pt idx="2">
                  <c:v>79</c:v>
                </c:pt>
                <c:pt idx="3">
                  <c:v>53</c:v>
                </c:pt>
                <c:pt idx="4">
                  <c:v>45</c:v>
                </c:pt>
                <c:pt idx="5">
                  <c:v>35</c:v>
                </c:pt>
                <c:pt idx="6">
                  <c:v>52</c:v>
                </c:pt>
                <c:pt idx="7">
                  <c:v>38</c:v>
                </c:pt>
              </c:numCache>
            </c:numRef>
          </c:xVal>
          <c:yVal>
            <c:numRef>
              <c:f>Summary!$B$5:$B$12</c:f>
              <c:numCache>
                <c:formatCode>0.00000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DFF-4683-9E1D-7267AB43254A}"/>
            </c:ext>
          </c:extLst>
        </c:ser>
        <c:ser>
          <c:idx val="8"/>
          <c:order val="8"/>
          <c:tx>
            <c:strRef>
              <c:f>Summary!$J$4</c:f>
              <c:strCache>
                <c:ptCount val="1"/>
                <c:pt idx="0">
                  <c:v>Plastic Limit</c:v>
                </c:pt>
              </c:strCache>
            </c:strRef>
          </c:tx>
          <c:spPr>
            <a:ln w="2222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dash"/>
            <c:size val="6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Summary!$J$5:$J$12</c:f>
              <c:numCache>
                <c:formatCode>0.00000</c:formatCode>
                <c:ptCount val="8"/>
                <c:pt idx="0">
                  <c:v>33</c:v>
                </c:pt>
                <c:pt idx="1">
                  <c:v>33</c:v>
                </c:pt>
                <c:pt idx="2">
                  <c:v>32</c:v>
                </c:pt>
                <c:pt idx="3">
                  <c:v>22</c:v>
                </c:pt>
                <c:pt idx="4">
                  <c:v>24</c:v>
                </c:pt>
                <c:pt idx="5">
                  <c:v>20</c:v>
                </c:pt>
                <c:pt idx="6">
                  <c:v>20</c:v>
                </c:pt>
                <c:pt idx="7">
                  <c:v>16</c:v>
                </c:pt>
              </c:numCache>
            </c:numRef>
          </c:xVal>
          <c:yVal>
            <c:numRef>
              <c:f>Summary!$B$5:$B$12</c:f>
              <c:numCache>
                <c:formatCode>0.00000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DFF-4683-9E1D-7267AB43254A}"/>
            </c:ext>
          </c:extLst>
        </c:ser>
        <c:ser>
          <c:idx val="9"/>
          <c:order val="9"/>
          <c:tx>
            <c:strRef>
              <c:f>Summary!$K$4</c:f>
              <c:strCache>
                <c:ptCount val="1"/>
                <c:pt idx="0">
                  <c:v>Plasticity Index</c:v>
                </c:pt>
              </c:strCache>
            </c:strRef>
          </c:tx>
          <c:spPr>
            <a:ln w="222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Summary!$K$5:$K$12</c:f>
              <c:numCache>
                <c:formatCode>0.00000</c:formatCode>
                <c:ptCount val="8"/>
                <c:pt idx="0">
                  <c:v>66</c:v>
                </c:pt>
                <c:pt idx="1">
                  <c:v>54</c:v>
                </c:pt>
                <c:pt idx="2">
                  <c:v>47</c:v>
                </c:pt>
                <c:pt idx="3">
                  <c:v>31</c:v>
                </c:pt>
                <c:pt idx="4">
                  <c:v>21</c:v>
                </c:pt>
                <c:pt idx="5">
                  <c:v>15</c:v>
                </c:pt>
                <c:pt idx="6">
                  <c:v>32</c:v>
                </c:pt>
                <c:pt idx="7">
                  <c:v>22</c:v>
                </c:pt>
              </c:numCache>
            </c:numRef>
          </c:xVal>
          <c:yVal>
            <c:numRef>
              <c:f>Summary!$B$5:$B$12</c:f>
              <c:numCache>
                <c:formatCode>0.00000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DFF-4683-9E1D-7267AB4325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437648"/>
        <c:axId val="143583824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Summary!$G$4</c15:sqref>
                        </c15:formulaRef>
                      </c:ext>
                    </c:extLst>
                    <c:strCache>
                      <c:ptCount val="1"/>
                      <c:pt idx="0">
                        <c:v>Bulk Density (kg/m3)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Summary!$G$5:$G$12</c15:sqref>
                        </c15:formulaRef>
                      </c:ext>
                    </c:extLst>
                    <c:numCache>
                      <c:formatCode>0.00000</c:formatCode>
                      <c:ptCount val="8"/>
                      <c:pt idx="0">
                        <c:v>1387.9999999999995</c:v>
                      </c:pt>
                      <c:pt idx="1">
                        <c:v>1656</c:v>
                      </c:pt>
                      <c:pt idx="2">
                        <c:v>1460</c:v>
                      </c:pt>
                      <c:pt idx="3">
                        <c:v>1612.0000000000005</c:v>
                      </c:pt>
                      <c:pt idx="4">
                        <c:v>1662.0000000000005</c:v>
                      </c:pt>
                      <c:pt idx="5">
                        <c:v>1851.9999999999993</c:v>
                      </c:pt>
                      <c:pt idx="6">
                        <c:v>1532.0000000000005</c:v>
                      </c:pt>
                      <c:pt idx="7">
                        <c:v>1792.0000000000005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Summary!$B$5:$B$12</c15:sqref>
                        </c15:formulaRef>
                      </c:ext>
                    </c:extLst>
                    <c:numCache>
                      <c:formatCode>0.00000</c:formatCode>
                      <c:ptCount val="8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6-7DFF-4683-9E1D-7267AB43254A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Summary!$H$4</c15:sqref>
                        </c15:formulaRef>
                      </c:ext>
                    </c:extLst>
                    <c:strCache>
                      <c:ptCount val="1"/>
                      <c:pt idx="0">
                        <c:v>Dry Density (kg/m3)</c:v>
                      </c:pt>
                    </c:strCache>
                  </c:strRef>
                </c:tx>
                <c:spPr>
                  <a:ln w="2222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Summary!$H$5:$H$12</c15:sqref>
                        </c15:formulaRef>
                      </c:ext>
                    </c:extLst>
                    <c:numCache>
                      <c:formatCode>0.00000</c:formatCode>
                      <c:ptCount val="8"/>
                      <c:pt idx="0">
                        <c:v>604.55657492354669</c:v>
                      </c:pt>
                      <c:pt idx="1">
                        <c:v>1038.9296636085626</c:v>
                      </c:pt>
                      <c:pt idx="2">
                        <c:v>721.25382262996936</c:v>
                      </c:pt>
                      <c:pt idx="3">
                        <c:v>967.6146788990834</c:v>
                      </c:pt>
                      <c:pt idx="4">
                        <c:v>1048.6544342507652</c:v>
                      </c:pt>
                      <c:pt idx="5">
                        <c:v>1356.6055045871547</c:v>
                      </c:pt>
                      <c:pt idx="6">
                        <c:v>837.95107033639215</c:v>
                      </c:pt>
                      <c:pt idx="7">
                        <c:v>1259.3577981651383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Summary!$B$5:$B$12</c15:sqref>
                        </c15:formulaRef>
                      </c:ext>
                    </c:extLst>
                    <c:numCache>
                      <c:formatCode>0.00000</c:formatCode>
                      <c:ptCount val="8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7DFF-4683-9E1D-7267AB43254A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Summary!$C$4</c15:sqref>
                        </c15:formulaRef>
                      </c:ext>
                    </c:extLst>
                    <c:strCache>
                      <c:ptCount val="1"/>
                      <c:pt idx="0">
                        <c:v>Moisture (%) wrt. Oven dried sample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Summary!$C$5:$C$12</c15:sqref>
                        </c15:formulaRef>
                      </c:ext>
                    </c:extLst>
                    <c:numCache>
                      <c:formatCode>0.00000</c:formatCode>
                      <c:ptCount val="8"/>
                      <c:pt idx="0">
                        <c:v>116.98157652469629</c:v>
                      </c:pt>
                      <c:pt idx="1">
                        <c:v>116.71297348976158</c:v>
                      </c:pt>
                      <c:pt idx="2">
                        <c:v>95.340872521668132</c:v>
                      </c:pt>
                      <c:pt idx="3">
                        <c:v>103.49948568824536</c:v>
                      </c:pt>
                      <c:pt idx="4">
                        <c:v>79.010426634274097</c:v>
                      </c:pt>
                      <c:pt idx="5">
                        <c:v>47.222381728518869</c:v>
                      </c:pt>
                      <c:pt idx="6">
                        <c:v>87.812998348520509</c:v>
                      </c:pt>
                      <c:pt idx="7">
                        <c:v>60.536219783364544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Summary!$B$5:$B$12</c15:sqref>
                        </c15:formulaRef>
                      </c:ext>
                    </c:extLst>
                    <c:numCache>
                      <c:formatCode>0.00000</c:formatCode>
                      <c:ptCount val="8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7DFF-4683-9E1D-7267AB43254A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Summary!$M$4</c15:sqref>
                        </c15:formulaRef>
                      </c:ext>
                    </c:extLst>
                    <c:strCache>
                      <c:ptCount val="1"/>
                      <c:pt idx="0">
                        <c:v>Percent passing No. 200 sieve (%)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Summary!$M$5:$M$12</c15:sqref>
                        </c15:formulaRef>
                      </c:ext>
                    </c:extLst>
                    <c:numCache>
                      <c:formatCode>0.00000</c:formatCode>
                      <c:ptCount val="8"/>
                      <c:pt idx="0">
                        <c:v>99.409500000000008</c:v>
                      </c:pt>
                      <c:pt idx="1">
                        <c:v>98.923000000000002</c:v>
                      </c:pt>
                      <c:pt idx="2">
                        <c:v>99.307500000000005</c:v>
                      </c:pt>
                      <c:pt idx="3">
                        <c:v>98.896500000000003</c:v>
                      </c:pt>
                      <c:pt idx="4">
                        <c:v>99.6965</c:v>
                      </c:pt>
                      <c:pt idx="5">
                        <c:v>99.072000000000003</c:v>
                      </c:pt>
                      <c:pt idx="6">
                        <c:v>98.87299999999999</c:v>
                      </c:pt>
                      <c:pt idx="7">
                        <c:v>99.603499999999997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Summary!$B$5:$B$12</c15:sqref>
                        </c15:formulaRef>
                      </c:ext>
                    </c:extLst>
                    <c:numCache>
                      <c:formatCode>0.00000</c:formatCode>
                      <c:ptCount val="8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7DFF-4683-9E1D-7267AB43254A}"/>
                  </c:ext>
                </c:extLst>
              </c15:ser>
            </c15:filteredScatterSeries>
          </c:ext>
        </c:extLst>
      </c:scatterChart>
      <c:valAx>
        <c:axId val="1436437648"/>
        <c:scaling>
          <c:orientation val="minMax"/>
          <c:max val="99"/>
          <c:min val="-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5838240"/>
        <c:crosses val="autoZero"/>
        <c:crossBetween val="midCat"/>
      </c:valAx>
      <c:valAx>
        <c:axId val="1435838240"/>
        <c:scaling>
          <c:orientation val="minMax"/>
          <c:max val="8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64376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263668808940856E-2"/>
          <c:y val="7.5245476511553833E-2"/>
          <c:w val="0.85886201289803998"/>
          <c:h val="0.80814826195506095"/>
        </c:manualLayout>
      </c:layout>
      <c:scatterChart>
        <c:scatterStyle val="smoothMarker"/>
        <c:varyColors val="0"/>
        <c:ser>
          <c:idx val="1"/>
          <c:order val="0"/>
          <c:spPr>
            <a:ln w="28575">
              <a:noFill/>
            </a:ln>
          </c:spPr>
          <c:marker>
            <c:symbol val="plus"/>
            <c:size val="7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Ref>
              <c:f>'Hydrometer Analysis_MB1'!$G$31:$G$41</c:f>
              <c:numCache>
                <c:formatCode>0.000</c:formatCode>
                <c:ptCount val="11"/>
                <c:pt idx="0">
                  <c:v>3.7564714480581025E-2</c:v>
                </c:pt>
                <c:pt idx="1">
                  <c:v>1.18790057412545E-2</c:v>
                </c:pt>
                <c:pt idx="2">
                  <c:v>9.2002492919634801E-3</c:v>
                </c:pt>
                <c:pt idx="3">
                  <c:v>6.6247837699566648E-3</c:v>
                </c:pt>
                <c:pt idx="4">
                  <c:v>3.359456047919554E-3</c:v>
                </c:pt>
                <c:pt idx="5">
                  <c:v>2.5245838258358857E-3</c:v>
                </c:pt>
                <c:pt idx="6">
                  <c:v>1.8284716008159594E-3</c:v>
                </c:pt>
                <c:pt idx="7">
                  <c:v>9.4234246152823098E-4</c:v>
                </c:pt>
                <c:pt idx="8">
                  <c:v>3.9858856917532933E-4</c:v>
                </c:pt>
              </c:numCache>
            </c:numRef>
          </c:xVal>
          <c:yVal>
            <c:numRef>
              <c:f>'Hydrometer Analysis_MB1'!$H$31:$H$41</c:f>
              <c:numCache>
                <c:formatCode>0</c:formatCode>
                <c:ptCount val="11"/>
                <c:pt idx="0">
                  <c:v>2.189018180148643</c:v>
                </c:pt>
                <c:pt idx="1">
                  <c:v>2.189018180148643</c:v>
                </c:pt>
                <c:pt idx="2">
                  <c:v>1.7551742855497954</c:v>
                </c:pt>
                <c:pt idx="3">
                  <c:v>1.6587645311944959</c:v>
                </c:pt>
                <c:pt idx="4">
                  <c:v>1.7551742855497954</c:v>
                </c:pt>
                <c:pt idx="5">
                  <c:v>1.4177401453062473</c:v>
                </c:pt>
                <c:pt idx="6">
                  <c:v>1.273125513773298</c:v>
                </c:pt>
                <c:pt idx="7">
                  <c:v>1.0803060050626989</c:v>
                </c:pt>
                <c:pt idx="8">
                  <c:v>0.83928161917445032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675-4781-8228-233C2DAE1A6B}"/>
            </c:ext>
          </c:extLst>
        </c:ser>
        <c:ser>
          <c:idx val="0"/>
          <c:order val="1"/>
          <c:spPr>
            <a:ln w="12700">
              <a:solidFill>
                <a:schemeClr val="accent1"/>
              </a:solidFill>
            </a:ln>
          </c:spPr>
          <c:xVal>
            <c:numRef>
              <c:f>'Hydrometer Analysis_MB1'!$G$31:$G$41</c:f>
              <c:numCache>
                <c:formatCode>0.000</c:formatCode>
                <c:ptCount val="11"/>
                <c:pt idx="0">
                  <c:v>3.7564714480581025E-2</c:v>
                </c:pt>
                <c:pt idx="1">
                  <c:v>1.18790057412545E-2</c:v>
                </c:pt>
                <c:pt idx="2">
                  <c:v>9.2002492919634801E-3</c:v>
                </c:pt>
                <c:pt idx="3">
                  <c:v>6.6247837699566648E-3</c:v>
                </c:pt>
                <c:pt idx="4">
                  <c:v>3.359456047919554E-3</c:v>
                </c:pt>
                <c:pt idx="5">
                  <c:v>2.5245838258358857E-3</c:v>
                </c:pt>
                <c:pt idx="6">
                  <c:v>1.8284716008159594E-3</c:v>
                </c:pt>
                <c:pt idx="7">
                  <c:v>9.4234246152823098E-4</c:v>
                </c:pt>
                <c:pt idx="8">
                  <c:v>3.9858856917532933E-4</c:v>
                </c:pt>
              </c:numCache>
            </c:numRef>
          </c:xVal>
          <c:yVal>
            <c:numRef>
              <c:f>'Hydrometer Analysis_MB1'!$H$31:$H$41</c:f>
              <c:numCache>
                <c:formatCode>0</c:formatCode>
                <c:ptCount val="11"/>
                <c:pt idx="0">
                  <c:v>2.189018180148643</c:v>
                </c:pt>
                <c:pt idx="1">
                  <c:v>2.189018180148643</c:v>
                </c:pt>
                <c:pt idx="2">
                  <c:v>1.7551742855497954</c:v>
                </c:pt>
                <c:pt idx="3">
                  <c:v>1.6587645311944959</c:v>
                </c:pt>
                <c:pt idx="4">
                  <c:v>1.7551742855497954</c:v>
                </c:pt>
                <c:pt idx="5">
                  <c:v>1.4177401453062473</c:v>
                </c:pt>
                <c:pt idx="6">
                  <c:v>1.273125513773298</c:v>
                </c:pt>
                <c:pt idx="7">
                  <c:v>1.0803060050626989</c:v>
                </c:pt>
                <c:pt idx="8">
                  <c:v>0.83928161917445032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ED9-484F-8E2E-CB7C89DB1989}"/>
            </c:ext>
          </c:extLst>
        </c:ser>
        <c:ser>
          <c:idx val="2"/>
          <c:order val="2"/>
          <c:spPr>
            <a:ln w="12700">
              <a:solidFill>
                <a:schemeClr val="accent1"/>
              </a:solidFill>
            </a:ln>
          </c:spPr>
          <c:xVal>
            <c:numRef>
              <c:f>'Hydrometer Analysis_MB1'!$I$50:$I$55</c:f>
              <c:numCache>
                <c:formatCode>General</c:formatCode>
                <c:ptCount val="6"/>
                <c:pt idx="0">
                  <c:v>4.75</c:v>
                </c:pt>
                <c:pt idx="1">
                  <c:v>2</c:v>
                </c:pt>
                <c:pt idx="2">
                  <c:v>0.42499999999999999</c:v>
                </c:pt>
                <c:pt idx="3">
                  <c:v>0.15</c:v>
                </c:pt>
                <c:pt idx="4">
                  <c:v>7.4999999999999997E-2</c:v>
                </c:pt>
                <c:pt idx="5">
                  <c:v>3.7564714480581025E-2</c:v>
                </c:pt>
              </c:numCache>
            </c:numRef>
          </c:xVal>
          <c:yVal>
            <c:numRef>
              <c:f>'Hydrometer Analysis_MB1'!$J$50:$J$55</c:f>
              <c:numCache>
                <c:formatCode>General</c:formatCode>
                <c:ptCount val="6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98.896500000000003</c:v>
                </c:pt>
                <c:pt idx="5">
                  <c:v>2.189018180148643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F46-4173-B508-144E7B9389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0095328"/>
        <c:axId val="490105128"/>
      </c:scatterChart>
      <c:valAx>
        <c:axId val="490095328"/>
        <c:scaling>
          <c:logBase val="10"/>
          <c:orientation val="maxMin"/>
          <c:max val="10"/>
          <c:min val="1E-4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373464373464373"/>
              <c:y val="0.9389317976693479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0105128"/>
        <c:crosses val="autoZero"/>
        <c:crossBetween val="midCat"/>
      </c:valAx>
      <c:valAx>
        <c:axId val="490105128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% Passing</a:t>
                </a:r>
              </a:p>
            </c:rich>
          </c:tx>
          <c:layout>
            <c:manualLayout>
              <c:xMode val="edge"/>
              <c:yMode val="edge"/>
              <c:x val="9.8280098280098208E-3"/>
              <c:y val="0.3271539364701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0095328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263668808940856E-2"/>
          <c:y val="7.5245476511553833E-2"/>
          <c:w val="0.85886201289803998"/>
          <c:h val="0.80814826195506095"/>
        </c:manualLayout>
      </c:layout>
      <c:scatterChart>
        <c:scatterStyle val="smoothMarker"/>
        <c:varyColors val="0"/>
        <c:ser>
          <c:idx val="1"/>
          <c:order val="0"/>
          <c:spPr>
            <a:ln w="28575">
              <a:noFill/>
            </a:ln>
          </c:spPr>
          <c:marker>
            <c:symbol val="plus"/>
            <c:size val="7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Ref>
              <c:f>'Hydrometer Analysis_MB2'!$G$31:$G$41</c:f>
              <c:numCache>
                <c:formatCode>0.000</c:formatCode>
                <c:ptCount val="11"/>
                <c:pt idx="0">
                  <c:v>4.2714935517782049E-2</c:v>
                </c:pt>
                <c:pt idx="1">
                  <c:v>1.3507648634341502E-2</c:v>
                </c:pt>
                <c:pt idx="2">
                  <c:v>9.7144378688188929E-3</c:v>
                </c:pt>
                <c:pt idx="3">
                  <c:v>6.869144892457232E-3</c:v>
                </c:pt>
                <c:pt idx="4">
                  <c:v>3.6347091409764921E-3</c:v>
                </c:pt>
                <c:pt idx="5">
                  <c:v>2.5904225870515135E-3</c:v>
                </c:pt>
                <c:pt idx="6">
                  <c:v>1.8740985711508773E-3</c:v>
                </c:pt>
                <c:pt idx="7">
                  <c:v>9.6458712332077648E-4</c:v>
                </c:pt>
                <c:pt idx="8">
                  <c:v>4.0472115366736592E-4</c:v>
                </c:pt>
              </c:numCache>
            </c:numRef>
          </c:xVal>
          <c:yVal>
            <c:numRef>
              <c:f>'Hydrometer Analysis_MB2'!$H$31:$H$41</c:f>
              <c:numCache>
                <c:formatCode>0</c:formatCode>
                <c:ptCount val="11"/>
                <c:pt idx="0">
                  <c:v>2.0506367378905952</c:v>
                </c:pt>
                <c:pt idx="1">
                  <c:v>2.0506367378905952</c:v>
                </c:pt>
                <c:pt idx="2">
                  <c:v>1.9240960909755875</c:v>
                </c:pt>
                <c:pt idx="3">
                  <c:v>1.9240960909755875</c:v>
                </c:pt>
                <c:pt idx="4">
                  <c:v>1.7342851206030752</c:v>
                </c:pt>
                <c:pt idx="5">
                  <c:v>1.6710147971455713</c:v>
                </c:pt>
                <c:pt idx="6">
                  <c:v>1.4812038267730592</c:v>
                </c:pt>
                <c:pt idx="7">
                  <c:v>1.2281225329430432</c:v>
                </c:pt>
                <c:pt idx="8">
                  <c:v>0.97504123911302687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675-4781-8228-233C2DAE1A6B}"/>
            </c:ext>
          </c:extLst>
        </c:ser>
        <c:ser>
          <c:idx val="0"/>
          <c:order val="1"/>
          <c:spPr>
            <a:ln w="12700">
              <a:solidFill>
                <a:schemeClr val="accent1"/>
              </a:solidFill>
            </a:ln>
          </c:spPr>
          <c:xVal>
            <c:numRef>
              <c:f>'Hydrometer Analysis_MB2'!$G$31:$G$41</c:f>
              <c:numCache>
                <c:formatCode>0.000</c:formatCode>
                <c:ptCount val="11"/>
                <c:pt idx="0">
                  <c:v>4.2714935517782049E-2</c:v>
                </c:pt>
                <c:pt idx="1">
                  <c:v>1.3507648634341502E-2</c:v>
                </c:pt>
                <c:pt idx="2">
                  <c:v>9.7144378688188929E-3</c:v>
                </c:pt>
                <c:pt idx="3">
                  <c:v>6.869144892457232E-3</c:v>
                </c:pt>
                <c:pt idx="4">
                  <c:v>3.6347091409764921E-3</c:v>
                </c:pt>
                <c:pt idx="5">
                  <c:v>2.5904225870515135E-3</c:v>
                </c:pt>
                <c:pt idx="6">
                  <c:v>1.8740985711508773E-3</c:v>
                </c:pt>
                <c:pt idx="7">
                  <c:v>9.6458712332077648E-4</c:v>
                </c:pt>
                <c:pt idx="8">
                  <c:v>4.0472115366736592E-4</c:v>
                </c:pt>
              </c:numCache>
            </c:numRef>
          </c:xVal>
          <c:yVal>
            <c:numRef>
              <c:f>'Hydrometer Analysis_MB2'!$H$31:$H$41</c:f>
              <c:numCache>
                <c:formatCode>0</c:formatCode>
                <c:ptCount val="11"/>
                <c:pt idx="0">
                  <c:v>2.0506367378905952</c:v>
                </c:pt>
                <c:pt idx="1">
                  <c:v>2.0506367378905952</c:v>
                </c:pt>
                <c:pt idx="2">
                  <c:v>1.9240960909755875</c:v>
                </c:pt>
                <c:pt idx="3">
                  <c:v>1.9240960909755875</c:v>
                </c:pt>
                <c:pt idx="4">
                  <c:v>1.7342851206030752</c:v>
                </c:pt>
                <c:pt idx="5">
                  <c:v>1.6710147971455713</c:v>
                </c:pt>
                <c:pt idx="6">
                  <c:v>1.4812038267730592</c:v>
                </c:pt>
                <c:pt idx="7">
                  <c:v>1.2281225329430432</c:v>
                </c:pt>
                <c:pt idx="8">
                  <c:v>0.97504123911302687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ED9-484F-8E2E-CB7C89DB1989}"/>
            </c:ext>
          </c:extLst>
        </c:ser>
        <c:ser>
          <c:idx val="2"/>
          <c:order val="2"/>
          <c:spPr>
            <a:ln w="12700">
              <a:solidFill>
                <a:schemeClr val="accent1"/>
              </a:solidFill>
            </a:ln>
          </c:spPr>
          <c:xVal>
            <c:numRef>
              <c:f>'Hydrometer Analysis_MB2'!$I$50:$I$55</c:f>
              <c:numCache>
                <c:formatCode>General</c:formatCode>
                <c:ptCount val="6"/>
                <c:pt idx="0">
                  <c:v>4.75</c:v>
                </c:pt>
                <c:pt idx="1">
                  <c:v>2</c:v>
                </c:pt>
                <c:pt idx="2">
                  <c:v>0.42499999999999999</c:v>
                </c:pt>
                <c:pt idx="3">
                  <c:v>0.15</c:v>
                </c:pt>
                <c:pt idx="4">
                  <c:v>7.4999999999999997E-2</c:v>
                </c:pt>
                <c:pt idx="5">
                  <c:v>4.2714935517782049E-2</c:v>
                </c:pt>
              </c:numCache>
            </c:numRef>
          </c:xVal>
          <c:yVal>
            <c:numRef>
              <c:f>'Hydrometer Analysis_MB2'!$J$50:$J$55</c:f>
              <c:numCache>
                <c:formatCode>General</c:formatCode>
                <c:ptCount val="6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99.6965</c:v>
                </c:pt>
                <c:pt idx="5">
                  <c:v>1.5654346729865267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F46-4173-B508-144E7B9389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0102384"/>
        <c:axId val="490099640"/>
      </c:scatterChart>
      <c:valAx>
        <c:axId val="490102384"/>
        <c:scaling>
          <c:logBase val="10"/>
          <c:orientation val="maxMin"/>
          <c:max val="10"/>
          <c:min val="1E-4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373464373464373"/>
              <c:y val="0.9389317976693479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0099640"/>
        <c:crosses val="autoZero"/>
        <c:crossBetween val="midCat"/>
      </c:valAx>
      <c:valAx>
        <c:axId val="490099640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% Passing</a:t>
                </a:r>
              </a:p>
            </c:rich>
          </c:tx>
          <c:layout>
            <c:manualLayout>
              <c:xMode val="edge"/>
              <c:yMode val="edge"/>
              <c:x val="9.8280098280098208E-3"/>
              <c:y val="0.3271539364701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01023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263668808940856E-2"/>
          <c:y val="7.5245476511553833E-2"/>
          <c:w val="0.85886201289803998"/>
          <c:h val="0.80814826195506095"/>
        </c:manualLayout>
      </c:layout>
      <c:scatterChart>
        <c:scatterStyle val="smoothMarker"/>
        <c:varyColors val="0"/>
        <c:ser>
          <c:idx val="1"/>
          <c:order val="0"/>
          <c:spPr>
            <a:ln w="28575">
              <a:noFill/>
            </a:ln>
          </c:spPr>
          <c:marker>
            <c:symbol val="plus"/>
            <c:size val="7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Ref>
              <c:f>'Hydrometer Analysis_MB3'!$G$31:$G$41</c:f>
              <c:numCache>
                <c:formatCode>0.000</c:formatCode>
                <c:ptCount val="11"/>
                <c:pt idx="0">
                  <c:v>4.6069784462469399E-2</c:v>
                </c:pt>
                <c:pt idx="1">
                  <c:v>1.488611873832198E-2</c:v>
                </c:pt>
                <c:pt idx="2">
                  <c:v>1.074594244682622E-2</c:v>
                </c:pt>
                <c:pt idx="3">
                  <c:v>7.7004314193111559E-3</c:v>
                </c:pt>
                <c:pt idx="4">
                  <c:v>4.0284206517121361E-3</c:v>
                </c:pt>
                <c:pt idx="5">
                  <c:v>2.8847796694615874E-3</c:v>
                </c:pt>
                <c:pt idx="6">
                  <c:v>2.0525456602988341E-3</c:v>
                </c:pt>
                <c:pt idx="7">
                  <c:v>1.026272830149417E-3</c:v>
                </c:pt>
                <c:pt idx="8">
                  <c:v>4.2411070299587961E-4</c:v>
                </c:pt>
              </c:numCache>
            </c:numRef>
          </c:xVal>
          <c:yVal>
            <c:numRef>
              <c:f>'Hydrometer Analysis_MB3'!$H$31:$H$41</c:f>
              <c:numCache>
                <c:formatCode>0</c:formatCode>
                <c:ptCount val="11"/>
                <c:pt idx="0">
                  <c:v>2.3655852048557593</c:v>
                </c:pt>
                <c:pt idx="1">
                  <c:v>2.0489173059856078</c:v>
                </c:pt>
                <c:pt idx="2">
                  <c:v>1.7322494071154566</c:v>
                </c:pt>
                <c:pt idx="3">
                  <c:v>1.5211374745353556</c:v>
                </c:pt>
                <c:pt idx="4">
                  <c:v>1.3100255419552547</c:v>
                </c:pt>
                <c:pt idx="5">
                  <c:v>1.0989136093751539</c:v>
                </c:pt>
                <c:pt idx="6">
                  <c:v>0.99335764308510355</c:v>
                </c:pt>
                <c:pt idx="7">
                  <c:v>0.99335764308510355</c:v>
                </c:pt>
                <c:pt idx="8">
                  <c:v>0.78224571050500247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675-4781-8228-233C2DAE1A6B}"/>
            </c:ext>
          </c:extLst>
        </c:ser>
        <c:ser>
          <c:idx val="0"/>
          <c:order val="1"/>
          <c:spPr>
            <a:ln w="12700">
              <a:solidFill>
                <a:schemeClr val="accent1"/>
              </a:solidFill>
            </a:ln>
          </c:spPr>
          <c:xVal>
            <c:numRef>
              <c:f>'Hydrometer Analysis_MB3'!$G$31:$G$41</c:f>
              <c:numCache>
                <c:formatCode>0.000</c:formatCode>
                <c:ptCount val="11"/>
                <c:pt idx="0">
                  <c:v>4.6069784462469399E-2</c:v>
                </c:pt>
                <c:pt idx="1">
                  <c:v>1.488611873832198E-2</c:v>
                </c:pt>
                <c:pt idx="2">
                  <c:v>1.074594244682622E-2</c:v>
                </c:pt>
                <c:pt idx="3">
                  <c:v>7.7004314193111559E-3</c:v>
                </c:pt>
                <c:pt idx="4">
                  <c:v>4.0284206517121361E-3</c:v>
                </c:pt>
                <c:pt idx="5">
                  <c:v>2.8847796694615874E-3</c:v>
                </c:pt>
                <c:pt idx="6">
                  <c:v>2.0525456602988341E-3</c:v>
                </c:pt>
                <c:pt idx="7">
                  <c:v>1.026272830149417E-3</c:v>
                </c:pt>
                <c:pt idx="8">
                  <c:v>4.2411070299587961E-4</c:v>
                </c:pt>
              </c:numCache>
            </c:numRef>
          </c:xVal>
          <c:yVal>
            <c:numRef>
              <c:f>'Hydrometer Analysis_MB3'!$H$31:$H$41</c:f>
              <c:numCache>
                <c:formatCode>0</c:formatCode>
                <c:ptCount val="11"/>
                <c:pt idx="0">
                  <c:v>2.3655852048557593</c:v>
                </c:pt>
                <c:pt idx="1">
                  <c:v>2.0489173059856078</c:v>
                </c:pt>
                <c:pt idx="2">
                  <c:v>1.7322494071154566</c:v>
                </c:pt>
                <c:pt idx="3">
                  <c:v>1.5211374745353556</c:v>
                </c:pt>
                <c:pt idx="4">
                  <c:v>1.3100255419552547</c:v>
                </c:pt>
                <c:pt idx="5">
                  <c:v>1.0989136093751539</c:v>
                </c:pt>
                <c:pt idx="6">
                  <c:v>0.99335764308510355</c:v>
                </c:pt>
                <c:pt idx="7">
                  <c:v>0.99335764308510355</c:v>
                </c:pt>
                <c:pt idx="8">
                  <c:v>0.78224571050500247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ED9-484F-8E2E-CB7C89DB1989}"/>
            </c:ext>
          </c:extLst>
        </c:ser>
        <c:ser>
          <c:idx val="2"/>
          <c:order val="2"/>
          <c:spPr>
            <a:ln w="12700">
              <a:solidFill>
                <a:schemeClr val="accent1"/>
              </a:solidFill>
            </a:ln>
          </c:spPr>
          <c:xVal>
            <c:numRef>
              <c:f>'Hydrometer Analysis_MB3'!$I$50:$I$55</c:f>
              <c:numCache>
                <c:formatCode>General</c:formatCode>
                <c:ptCount val="6"/>
                <c:pt idx="0">
                  <c:v>4.75</c:v>
                </c:pt>
                <c:pt idx="1">
                  <c:v>2</c:v>
                </c:pt>
                <c:pt idx="2">
                  <c:v>0.42499999999999999</c:v>
                </c:pt>
                <c:pt idx="3">
                  <c:v>0.15</c:v>
                </c:pt>
                <c:pt idx="4">
                  <c:v>7.4999999999999997E-2</c:v>
                </c:pt>
                <c:pt idx="5">
                  <c:v>4.6069784462469399E-2</c:v>
                </c:pt>
              </c:numCache>
            </c:numRef>
          </c:xVal>
          <c:yVal>
            <c:numRef>
              <c:f>'Hydrometer Analysis_MB3'!$J$50:$J$55</c:f>
              <c:numCache>
                <c:formatCode>General</c:formatCode>
                <c:ptCount val="6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99.072000000000003</c:v>
                </c:pt>
                <c:pt idx="5">
                  <c:v>2.3655852048557593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F46-4173-B508-144E7B9389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0102776"/>
        <c:axId val="490103168"/>
      </c:scatterChart>
      <c:valAx>
        <c:axId val="490102776"/>
        <c:scaling>
          <c:logBase val="10"/>
          <c:orientation val="maxMin"/>
          <c:max val="10"/>
          <c:min val="1E-4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373464373464373"/>
              <c:y val="0.9389317976693479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0103168"/>
        <c:crosses val="autoZero"/>
        <c:crossBetween val="midCat"/>
      </c:valAx>
      <c:valAx>
        <c:axId val="490103168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% Passing</a:t>
                </a:r>
              </a:p>
            </c:rich>
          </c:tx>
          <c:layout>
            <c:manualLayout>
              <c:xMode val="edge"/>
              <c:yMode val="edge"/>
              <c:x val="9.8280098280098208E-3"/>
              <c:y val="0.3271539364701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0102776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263668808940856E-2"/>
          <c:y val="7.5245476511553833E-2"/>
          <c:w val="0.85886201289803998"/>
          <c:h val="0.80814826195506095"/>
        </c:manualLayout>
      </c:layout>
      <c:scatterChart>
        <c:scatterStyle val="smoothMarker"/>
        <c:varyColors val="0"/>
        <c:ser>
          <c:idx val="1"/>
          <c:order val="0"/>
          <c:spPr>
            <a:ln w="28575">
              <a:noFill/>
            </a:ln>
          </c:spPr>
          <c:marker>
            <c:symbol val="plus"/>
            <c:size val="7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Ref>
              <c:f>'Hydrometer Analysis_MB4'!$G$31:$G$41</c:f>
              <c:numCache>
                <c:formatCode>0.000</c:formatCode>
                <c:ptCount val="11"/>
                <c:pt idx="0">
                  <c:v>4.1290117462694911E-2</c:v>
                </c:pt>
                <c:pt idx="1">
                  <c:v>1.3177271086708518E-2</c:v>
                </c:pt>
                <c:pt idx="2">
                  <c:v>9.4854272402771656E-3</c:v>
                </c:pt>
                <c:pt idx="3">
                  <c:v>6.9382820820132422E-3</c:v>
                </c:pt>
                <c:pt idx="4">
                  <c:v>3.6983906962849292E-3</c:v>
                </c:pt>
                <c:pt idx="5">
                  <c:v>2.6351755123064941E-3</c:v>
                </c:pt>
                <c:pt idx="6">
                  <c:v>1.8633504743686563E-3</c:v>
                </c:pt>
                <c:pt idx="7">
                  <c:v>9.6628577088001325E-4</c:v>
                </c:pt>
                <c:pt idx="8">
                  <c:v>4.0543387166165325E-4</c:v>
                </c:pt>
              </c:numCache>
            </c:numRef>
          </c:xVal>
          <c:yVal>
            <c:numRef>
              <c:f>'Hydrometer Analysis_MB4'!$H$31:$H$41</c:f>
              <c:numCache>
                <c:formatCode>0</c:formatCode>
                <c:ptCount val="11"/>
                <c:pt idx="0">
                  <c:v>2.0755448756205048</c:v>
                </c:pt>
                <c:pt idx="1">
                  <c:v>2.0185411999002638</c:v>
                </c:pt>
                <c:pt idx="2">
                  <c:v>1.9045338484597811</c:v>
                </c:pt>
                <c:pt idx="3">
                  <c:v>1.676519145578816</c:v>
                </c:pt>
                <c:pt idx="4">
                  <c:v>1.4485044426978506</c:v>
                </c:pt>
                <c:pt idx="5">
                  <c:v>1.3915007669776094</c:v>
                </c:pt>
                <c:pt idx="6">
                  <c:v>1.3915007669776094</c:v>
                </c:pt>
                <c:pt idx="7">
                  <c:v>1.1064823883764028</c:v>
                </c:pt>
                <c:pt idx="8">
                  <c:v>0.87846768549543752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675-4781-8228-233C2DAE1A6B}"/>
            </c:ext>
          </c:extLst>
        </c:ser>
        <c:ser>
          <c:idx val="0"/>
          <c:order val="1"/>
          <c:spPr>
            <a:ln w="12700">
              <a:solidFill>
                <a:schemeClr val="accent1"/>
              </a:solidFill>
            </a:ln>
          </c:spPr>
          <c:xVal>
            <c:numRef>
              <c:f>'Hydrometer Analysis_MB4'!$G$31:$G$41</c:f>
              <c:numCache>
                <c:formatCode>0.000</c:formatCode>
                <c:ptCount val="11"/>
                <c:pt idx="0">
                  <c:v>4.1290117462694911E-2</c:v>
                </c:pt>
                <c:pt idx="1">
                  <c:v>1.3177271086708518E-2</c:v>
                </c:pt>
                <c:pt idx="2">
                  <c:v>9.4854272402771656E-3</c:v>
                </c:pt>
                <c:pt idx="3">
                  <c:v>6.9382820820132422E-3</c:v>
                </c:pt>
                <c:pt idx="4">
                  <c:v>3.6983906962849292E-3</c:v>
                </c:pt>
                <c:pt idx="5">
                  <c:v>2.6351755123064941E-3</c:v>
                </c:pt>
                <c:pt idx="6">
                  <c:v>1.8633504743686563E-3</c:v>
                </c:pt>
                <c:pt idx="7">
                  <c:v>9.6628577088001325E-4</c:v>
                </c:pt>
                <c:pt idx="8">
                  <c:v>4.0543387166165325E-4</c:v>
                </c:pt>
              </c:numCache>
            </c:numRef>
          </c:xVal>
          <c:yVal>
            <c:numRef>
              <c:f>'Hydrometer Analysis_MB4'!$H$31:$H$41</c:f>
              <c:numCache>
                <c:formatCode>0</c:formatCode>
                <c:ptCount val="11"/>
                <c:pt idx="0">
                  <c:v>2.0755448756205048</c:v>
                </c:pt>
                <c:pt idx="1">
                  <c:v>2.0185411999002638</c:v>
                </c:pt>
                <c:pt idx="2">
                  <c:v>1.9045338484597811</c:v>
                </c:pt>
                <c:pt idx="3">
                  <c:v>1.676519145578816</c:v>
                </c:pt>
                <c:pt idx="4">
                  <c:v>1.4485044426978506</c:v>
                </c:pt>
                <c:pt idx="5">
                  <c:v>1.3915007669776094</c:v>
                </c:pt>
                <c:pt idx="6">
                  <c:v>1.3915007669776094</c:v>
                </c:pt>
                <c:pt idx="7">
                  <c:v>1.1064823883764028</c:v>
                </c:pt>
                <c:pt idx="8">
                  <c:v>0.87846768549543752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ED9-484F-8E2E-CB7C89DB1989}"/>
            </c:ext>
          </c:extLst>
        </c:ser>
        <c:ser>
          <c:idx val="2"/>
          <c:order val="2"/>
          <c:spPr>
            <a:ln w="12700">
              <a:solidFill>
                <a:schemeClr val="accent1"/>
              </a:solidFill>
            </a:ln>
          </c:spPr>
          <c:xVal>
            <c:numRef>
              <c:f>'Hydrometer Analysis_MB4'!$I$50:$I$55</c:f>
              <c:numCache>
                <c:formatCode>General</c:formatCode>
                <c:ptCount val="6"/>
                <c:pt idx="0">
                  <c:v>4.75</c:v>
                </c:pt>
                <c:pt idx="1">
                  <c:v>2</c:v>
                </c:pt>
                <c:pt idx="2">
                  <c:v>0.42499999999999999</c:v>
                </c:pt>
                <c:pt idx="3">
                  <c:v>0.15</c:v>
                </c:pt>
                <c:pt idx="4">
                  <c:v>7.4999999999999997E-2</c:v>
                </c:pt>
                <c:pt idx="5">
                  <c:v>4.1290117462694911E-2</c:v>
                </c:pt>
              </c:numCache>
            </c:numRef>
          </c:xVal>
          <c:yVal>
            <c:numRef>
              <c:f>'Hydrometer Analysis_MB4'!$J$50:$J$55</c:f>
              <c:numCache>
                <c:formatCode>General</c:formatCode>
                <c:ptCount val="6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98.87299999999999</c:v>
                </c:pt>
                <c:pt idx="5">
                  <c:v>2.0755448756205048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F46-4173-B508-144E7B9389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0109048"/>
        <c:axId val="490107872"/>
      </c:scatterChart>
      <c:valAx>
        <c:axId val="490109048"/>
        <c:scaling>
          <c:logBase val="10"/>
          <c:orientation val="maxMin"/>
          <c:max val="10"/>
          <c:min val="1E-4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373464373464373"/>
              <c:y val="0.9389317976693479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0107872"/>
        <c:crosses val="autoZero"/>
        <c:crossBetween val="midCat"/>
      </c:valAx>
      <c:valAx>
        <c:axId val="490107872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% Passing</a:t>
                </a:r>
              </a:p>
            </c:rich>
          </c:tx>
          <c:layout>
            <c:manualLayout>
              <c:xMode val="edge"/>
              <c:yMode val="edge"/>
              <c:x val="9.8280098280098208E-3"/>
              <c:y val="0.3271539364701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0109048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263668808940856E-2"/>
          <c:y val="7.5245476511553833E-2"/>
          <c:w val="0.85886201289803998"/>
          <c:h val="0.80814826195506095"/>
        </c:manualLayout>
      </c:layout>
      <c:scatterChart>
        <c:scatterStyle val="smoothMarker"/>
        <c:varyColors val="0"/>
        <c:ser>
          <c:idx val="1"/>
          <c:order val="0"/>
          <c:spPr>
            <a:ln w="28575">
              <a:noFill/>
            </a:ln>
          </c:spPr>
          <c:marker>
            <c:symbol val="plus"/>
            <c:size val="7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Ref>
              <c:f>'Hydrometer Analysis_MB5'!$G$31:$G$41</c:f>
              <c:numCache>
                <c:formatCode>0.000</c:formatCode>
                <c:ptCount val="11"/>
                <c:pt idx="0">
                  <c:v>4.5295850376773354E-2</c:v>
                </c:pt>
                <c:pt idx="1">
                  <c:v>1.4650279382604745E-2</c:v>
                </c:pt>
                <c:pt idx="2">
                  <c:v>1.0510396580456743E-2</c:v>
                </c:pt>
                <c:pt idx="3">
                  <c:v>7.484817396590974E-3</c:v>
                </c:pt>
                <c:pt idx="4">
                  <c:v>3.8922406496818213E-3</c:v>
                </c:pt>
                <c:pt idx="5">
                  <c:v>2.7712581523550118E-3</c:v>
                </c:pt>
                <c:pt idx="6">
                  <c:v>1.9862122200241818E-3</c:v>
                </c:pt>
                <c:pt idx="7">
                  <c:v>8.6589707784563003E-4</c:v>
                </c:pt>
                <c:pt idx="8">
                  <c:v>3.8606876005696988E-4</c:v>
                </c:pt>
              </c:numCache>
            </c:numRef>
          </c:xVal>
          <c:yVal>
            <c:numRef>
              <c:f>'Hydrometer Analysis_MB5'!$H$31:$H$41</c:f>
              <c:numCache>
                <c:formatCode>0</c:formatCode>
                <c:ptCount val="11"/>
                <c:pt idx="0">
                  <c:v>2.1011803956315926</c:v>
                </c:pt>
                <c:pt idx="1">
                  <c:v>1.8531141784250444</c:v>
                </c:pt>
                <c:pt idx="2">
                  <c:v>1.687736700287346</c:v>
                </c:pt>
                <c:pt idx="3">
                  <c:v>1.6050479612184967</c:v>
                </c:pt>
                <c:pt idx="4">
                  <c:v>1.5223592221496471</c:v>
                </c:pt>
                <c:pt idx="5">
                  <c:v>1.4396704830807978</c:v>
                </c:pt>
                <c:pt idx="6">
                  <c:v>1.2742930049430989</c:v>
                </c:pt>
                <c:pt idx="7">
                  <c:v>2.7626903081823877</c:v>
                </c:pt>
                <c:pt idx="8">
                  <c:v>1.8531141784250444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675-4781-8228-233C2DAE1A6B}"/>
            </c:ext>
          </c:extLst>
        </c:ser>
        <c:ser>
          <c:idx val="0"/>
          <c:order val="1"/>
          <c:spPr>
            <a:ln w="12700">
              <a:solidFill>
                <a:schemeClr val="accent1"/>
              </a:solidFill>
            </a:ln>
          </c:spPr>
          <c:xVal>
            <c:numRef>
              <c:f>'Hydrometer Analysis_MB5'!$G$31:$G$41</c:f>
              <c:numCache>
                <c:formatCode>0.000</c:formatCode>
                <c:ptCount val="11"/>
                <c:pt idx="0">
                  <c:v>4.5295850376773354E-2</c:v>
                </c:pt>
                <c:pt idx="1">
                  <c:v>1.4650279382604745E-2</c:v>
                </c:pt>
                <c:pt idx="2">
                  <c:v>1.0510396580456743E-2</c:v>
                </c:pt>
                <c:pt idx="3">
                  <c:v>7.484817396590974E-3</c:v>
                </c:pt>
                <c:pt idx="4">
                  <c:v>3.8922406496818213E-3</c:v>
                </c:pt>
                <c:pt idx="5">
                  <c:v>2.7712581523550118E-3</c:v>
                </c:pt>
                <c:pt idx="6">
                  <c:v>1.9862122200241818E-3</c:v>
                </c:pt>
                <c:pt idx="7">
                  <c:v>8.6589707784563003E-4</c:v>
                </c:pt>
                <c:pt idx="8">
                  <c:v>3.8606876005696988E-4</c:v>
                </c:pt>
              </c:numCache>
            </c:numRef>
          </c:xVal>
          <c:yVal>
            <c:numRef>
              <c:f>'Hydrometer Analysis_MB5'!$H$31:$H$41</c:f>
              <c:numCache>
                <c:formatCode>0</c:formatCode>
                <c:ptCount val="11"/>
                <c:pt idx="0">
                  <c:v>2.1011803956315926</c:v>
                </c:pt>
                <c:pt idx="1">
                  <c:v>1.8531141784250444</c:v>
                </c:pt>
                <c:pt idx="2">
                  <c:v>1.687736700287346</c:v>
                </c:pt>
                <c:pt idx="3">
                  <c:v>1.6050479612184967</c:v>
                </c:pt>
                <c:pt idx="4">
                  <c:v>1.5223592221496471</c:v>
                </c:pt>
                <c:pt idx="5">
                  <c:v>1.4396704830807978</c:v>
                </c:pt>
                <c:pt idx="6">
                  <c:v>1.2742930049430989</c:v>
                </c:pt>
                <c:pt idx="7">
                  <c:v>2.7626903081823877</c:v>
                </c:pt>
                <c:pt idx="8">
                  <c:v>1.8531141784250444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ED9-484F-8E2E-CB7C89DB1989}"/>
            </c:ext>
          </c:extLst>
        </c:ser>
        <c:ser>
          <c:idx val="2"/>
          <c:order val="2"/>
          <c:spPr>
            <a:ln w="12700">
              <a:solidFill>
                <a:schemeClr val="accent1"/>
              </a:solidFill>
            </a:ln>
          </c:spPr>
          <c:xVal>
            <c:numRef>
              <c:f>'Hydrometer Analysis_MB5'!$I$50:$I$55</c:f>
              <c:numCache>
                <c:formatCode>General</c:formatCode>
                <c:ptCount val="6"/>
                <c:pt idx="0">
                  <c:v>4.75</c:v>
                </c:pt>
                <c:pt idx="1">
                  <c:v>2</c:v>
                </c:pt>
                <c:pt idx="2">
                  <c:v>0.42499999999999999</c:v>
                </c:pt>
                <c:pt idx="3">
                  <c:v>0.15</c:v>
                </c:pt>
                <c:pt idx="4">
                  <c:v>7.4999999999999997E-2</c:v>
                </c:pt>
                <c:pt idx="5">
                  <c:v>4.5295850376773354E-2</c:v>
                </c:pt>
              </c:numCache>
            </c:numRef>
          </c:xVal>
          <c:yVal>
            <c:numRef>
              <c:f>'Hydrometer Analysis_MB5'!$J$50:$J$55</c:f>
              <c:numCache>
                <c:formatCode>General</c:formatCode>
                <c:ptCount val="6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99.603499999999997</c:v>
                </c:pt>
                <c:pt idx="5">
                  <c:v>2.1011803956315926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F46-4173-B508-144E7B9389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799576"/>
        <c:axId val="491804672"/>
      </c:scatterChart>
      <c:valAx>
        <c:axId val="491799576"/>
        <c:scaling>
          <c:logBase val="10"/>
          <c:orientation val="maxMin"/>
          <c:max val="10"/>
          <c:min val="1E-4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373464373464373"/>
              <c:y val="0.9389317976693479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1804672"/>
        <c:crosses val="autoZero"/>
        <c:crossBetween val="midCat"/>
      </c:valAx>
      <c:valAx>
        <c:axId val="491804672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% Passing</a:t>
                </a:r>
              </a:p>
            </c:rich>
          </c:tx>
          <c:layout>
            <c:manualLayout>
              <c:xMode val="edge"/>
              <c:yMode val="edge"/>
              <c:x val="9.8280098280098208E-3"/>
              <c:y val="0.3271539364701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1799576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263668808940856E-2"/>
          <c:y val="7.5245476511553833E-2"/>
          <c:w val="0.85886201289803998"/>
          <c:h val="0.80814826195506095"/>
        </c:manualLayout>
      </c:layout>
      <c:scatterChart>
        <c:scatterStyle val="smoothMarker"/>
        <c:varyColors val="0"/>
        <c:ser>
          <c:idx val="1"/>
          <c:order val="0"/>
          <c:spPr>
            <a:ln w="28575">
              <a:noFill/>
            </a:ln>
          </c:spPr>
          <c:marker>
            <c:symbol val="plus"/>
            <c:size val="7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Ref>
              <c:f>'Hydrometer Analysis_MB6'!$G$31:$G$41</c:f>
              <c:numCache>
                <c:formatCode>0.000</c:formatCode>
                <c:ptCount val="11"/>
                <c:pt idx="0">
                  <c:v>3.7364835297420705E-2</c:v>
                </c:pt>
                <c:pt idx="1">
                  <c:v>1.1815798393690444E-2</c:v>
                </c:pt>
                <c:pt idx="2">
                  <c:v>8.3550311693116278E-3</c:v>
                </c:pt>
                <c:pt idx="3">
                  <c:v>5.9078991968452219E-3</c:v>
                </c:pt>
                <c:pt idx="4">
                  <c:v>3.1192849436780402E-3</c:v>
                </c:pt>
                <c:pt idx="5">
                  <c:v>2.2763498447742523E-3</c:v>
                </c:pt>
                <c:pt idx="6">
                  <c:v>1.6580964917156157E-3</c:v>
                </c:pt>
                <c:pt idx="7">
                  <c:v>8.8301800675690098E-4</c:v>
                </c:pt>
                <c:pt idx="8">
                  <c:v>3.7543766946007175E-4</c:v>
                </c:pt>
              </c:numCache>
            </c:numRef>
          </c:xVal>
          <c:yVal>
            <c:numRef>
              <c:f>'Hydrometer Analysis_MB6'!$H$31:$H$41</c:f>
              <c:numCache>
                <c:formatCode>0</c:formatCode>
                <c:ptCount val="11"/>
                <c:pt idx="0">
                  <c:v>1.9894717913898441</c:v>
                </c:pt>
                <c:pt idx="1">
                  <c:v>1.9894717913898441</c:v>
                </c:pt>
                <c:pt idx="2">
                  <c:v>1.9894717913898441</c:v>
                </c:pt>
                <c:pt idx="3">
                  <c:v>1.9894717913898441</c:v>
                </c:pt>
                <c:pt idx="4">
                  <c:v>1.903738504279028</c:v>
                </c:pt>
                <c:pt idx="5">
                  <c:v>1.7751385736128045</c:v>
                </c:pt>
                <c:pt idx="6">
                  <c:v>1.6465386429465807</c:v>
                </c:pt>
                <c:pt idx="7">
                  <c:v>1.3464721380587248</c:v>
                </c:pt>
                <c:pt idx="8">
                  <c:v>1.1321389202816847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675-4781-8228-233C2DAE1A6B}"/>
            </c:ext>
          </c:extLst>
        </c:ser>
        <c:ser>
          <c:idx val="0"/>
          <c:order val="1"/>
          <c:spPr>
            <a:ln w="12700">
              <a:solidFill>
                <a:schemeClr val="accent1"/>
              </a:solidFill>
            </a:ln>
          </c:spPr>
          <c:xVal>
            <c:numRef>
              <c:f>'Hydrometer Analysis_MB6'!$G$31:$G$41</c:f>
              <c:numCache>
                <c:formatCode>0.000</c:formatCode>
                <c:ptCount val="11"/>
                <c:pt idx="0">
                  <c:v>3.7364835297420705E-2</c:v>
                </c:pt>
                <c:pt idx="1">
                  <c:v>1.1815798393690444E-2</c:v>
                </c:pt>
                <c:pt idx="2">
                  <c:v>8.3550311693116278E-3</c:v>
                </c:pt>
                <c:pt idx="3">
                  <c:v>5.9078991968452219E-3</c:v>
                </c:pt>
                <c:pt idx="4">
                  <c:v>3.1192849436780402E-3</c:v>
                </c:pt>
                <c:pt idx="5">
                  <c:v>2.2763498447742523E-3</c:v>
                </c:pt>
                <c:pt idx="6">
                  <c:v>1.6580964917156157E-3</c:v>
                </c:pt>
                <c:pt idx="7">
                  <c:v>8.8301800675690098E-4</c:v>
                </c:pt>
                <c:pt idx="8">
                  <c:v>3.7543766946007175E-4</c:v>
                </c:pt>
              </c:numCache>
            </c:numRef>
          </c:xVal>
          <c:yVal>
            <c:numRef>
              <c:f>'Hydrometer Analysis_MB6'!$H$31:$H$41</c:f>
              <c:numCache>
                <c:formatCode>0</c:formatCode>
                <c:ptCount val="11"/>
                <c:pt idx="0">
                  <c:v>1.9894717913898441</c:v>
                </c:pt>
                <c:pt idx="1">
                  <c:v>1.9894717913898441</c:v>
                </c:pt>
                <c:pt idx="2">
                  <c:v>1.9894717913898441</c:v>
                </c:pt>
                <c:pt idx="3">
                  <c:v>1.9894717913898441</c:v>
                </c:pt>
                <c:pt idx="4">
                  <c:v>1.903738504279028</c:v>
                </c:pt>
                <c:pt idx="5">
                  <c:v>1.7751385736128045</c:v>
                </c:pt>
                <c:pt idx="6">
                  <c:v>1.6465386429465807</c:v>
                </c:pt>
                <c:pt idx="7">
                  <c:v>1.3464721380587248</c:v>
                </c:pt>
                <c:pt idx="8">
                  <c:v>1.1321389202816847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ED9-484F-8E2E-CB7C89DB1989}"/>
            </c:ext>
          </c:extLst>
        </c:ser>
        <c:ser>
          <c:idx val="2"/>
          <c:order val="2"/>
          <c:spPr>
            <a:ln w="12700">
              <a:solidFill>
                <a:schemeClr val="accent1"/>
              </a:solidFill>
            </a:ln>
          </c:spPr>
          <c:xVal>
            <c:numRef>
              <c:f>'Hydrometer Analysis_MB6'!$I$50:$I$55</c:f>
              <c:numCache>
                <c:formatCode>General</c:formatCode>
                <c:ptCount val="6"/>
                <c:pt idx="0">
                  <c:v>4.75</c:v>
                </c:pt>
                <c:pt idx="1">
                  <c:v>2</c:v>
                </c:pt>
                <c:pt idx="2">
                  <c:v>0.42499999999999999</c:v>
                </c:pt>
                <c:pt idx="3">
                  <c:v>0.15</c:v>
                </c:pt>
                <c:pt idx="4">
                  <c:v>7.4999999999999997E-2</c:v>
                </c:pt>
                <c:pt idx="5">
                  <c:v>3.7364835297420705E-2</c:v>
                </c:pt>
              </c:numCache>
            </c:numRef>
          </c:xVal>
          <c:yVal>
            <c:numRef>
              <c:f>'Hydrometer Analysis_MB6'!$J$50:$J$55</c:f>
              <c:numCache>
                <c:formatCode>General</c:formatCode>
                <c:ptCount val="6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99.409500000000008</c:v>
                </c:pt>
                <c:pt idx="5">
                  <c:v>1.9894717913898441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F46-4173-B508-144E7B9389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3497728"/>
        <c:axId val="493494200"/>
      </c:scatterChart>
      <c:valAx>
        <c:axId val="493497728"/>
        <c:scaling>
          <c:logBase val="10"/>
          <c:orientation val="maxMin"/>
          <c:max val="10"/>
          <c:min val="1E-4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373464373464373"/>
              <c:y val="0.9389317976693479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3494200"/>
        <c:crosses val="autoZero"/>
        <c:crossBetween val="midCat"/>
      </c:valAx>
      <c:valAx>
        <c:axId val="493494200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% Passing</a:t>
                </a:r>
              </a:p>
            </c:rich>
          </c:tx>
          <c:layout>
            <c:manualLayout>
              <c:xMode val="edge"/>
              <c:yMode val="edge"/>
              <c:x val="9.8280098280098208E-3"/>
              <c:y val="0.3271539364701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3497728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263668808940856E-2"/>
          <c:y val="7.5245476511553833E-2"/>
          <c:w val="0.85886201289803998"/>
          <c:h val="0.80814826195506095"/>
        </c:manualLayout>
      </c:layout>
      <c:scatterChart>
        <c:scatterStyle val="smoothMarker"/>
        <c:varyColors val="0"/>
        <c:ser>
          <c:idx val="1"/>
          <c:order val="0"/>
          <c:spPr>
            <a:ln w="28575">
              <a:noFill/>
            </a:ln>
          </c:spPr>
          <c:marker>
            <c:symbol val="plus"/>
            <c:size val="7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Ref>
              <c:f>'Hydrometer Analysis_MB7'!$G$31:$G$41</c:f>
              <c:numCache>
                <c:formatCode>0.000</c:formatCode>
                <c:ptCount val="11"/>
                <c:pt idx="0">
                  <c:v>3.7154679768342573E-2</c:v>
                </c:pt>
                <c:pt idx="1">
                  <c:v>1.1749341380213978E-2</c:v>
                </c:pt>
                <c:pt idx="2">
                  <c:v>8.308038964425014E-3</c:v>
                </c:pt>
                <c:pt idx="3">
                  <c:v>5.9409485815273997E-3</c:v>
                </c:pt>
                <c:pt idx="4">
                  <c:v>3.1683523811513689E-3</c:v>
                </c:pt>
                <c:pt idx="5">
                  <c:v>2.3092150480269035E-3</c:v>
                </c:pt>
                <c:pt idx="6">
                  <c:v>1.648770660550955E-3</c:v>
                </c:pt>
                <c:pt idx="7">
                  <c:v>8.8545266216031064E-4</c:v>
                </c:pt>
                <c:pt idx="8">
                  <c:v>3.7332605030175874E-4</c:v>
                </c:pt>
              </c:numCache>
            </c:numRef>
          </c:xVal>
          <c:yVal>
            <c:numRef>
              <c:f>'Hydrometer Analysis_MB7'!$H$31:$H$41</c:f>
              <c:numCache>
                <c:formatCode>0</c:formatCode>
                <c:ptCount val="11"/>
                <c:pt idx="0">
                  <c:v>1.9855682315339938</c:v>
                </c:pt>
                <c:pt idx="1">
                  <c:v>1.9855682315339938</c:v>
                </c:pt>
                <c:pt idx="2">
                  <c:v>1.9855682315339938</c:v>
                </c:pt>
                <c:pt idx="3">
                  <c:v>1.9427856969916726</c:v>
                </c:pt>
                <c:pt idx="4">
                  <c:v>1.8144380933647093</c:v>
                </c:pt>
                <c:pt idx="5">
                  <c:v>1.6860904897377456</c:v>
                </c:pt>
                <c:pt idx="6">
                  <c:v>1.6433079551954248</c:v>
                </c:pt>
                <c:pt idx="7">
                  <c:v>1.3010476788568559</c:v>
                </c:pt>
                <c:pt idx="8">
                  <c:v>1.1299175406875714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675-4781-8228-233C2DAE1A6B}"/>
            </c:ext>
          </c:extLst>
        </c:ser>
        <c:ser>
          <c:idx val="0"/>
          <c:order val="1"/>
          <c:spPr>
            <a:ln w="12700">
              <a:solidFill>
                <a:schemeClr val="accent1"/>
              </a:solidFill>
            </a:ln>
          </c:spPr>
          <c:xVal>
            <c:numRef>
              <c:f>'Hydrometer Analysis_MB7'!$G$31:$G$41</c:f>
              <c:numCache>
                <c:formatCode>0.000</c:formatCode>
                <c:ptCount val="11"/>
                <c:pt idx="0">
                  <c:v>3.7154679768342573E-2</c:v>
                </c:pt>
                <c:pt idx="1">
                  <c:v>1.1749341380213978E-2</c:v>
                </c:pt>
                <c:pt idx="2">
                  <c:v>8.308038964425014E-3</c:v>
                </c:pt>
                <c:pt idx="3">
                  <c:v>5.9409485815273997E-3</c:v>
                </c:pt>
                <c:pt idx="4">
                  <c:v>3.1683523811513689E-3</c:v>
                </c:pt>
                <c:pt idx="5">
                  <c:v>2.3092150480269035E-3</c:v>
                </c:pt>
                <c:pt idx="6">
                  <c:v>1.648770660550955E-3</c:v>
                </c:pt>
                <c:pt idx="7">
                  <c:v>8.8545266216031064E-4</c:v>
                </c:pt>
                <c:pt idx="8">
                  <c:v>3.7332605030175874E-4</c:v>
                </c:pt>
              </c:numCache>
            </c:numRef>
          </c:xVal>
          <c:yVal>
            <c:numRef>
              <c:f>'Hydrometer Analysis_MB7'!$H$31:$H$41</c:f>
              <c:numCache>
                <c:formatCode>0</c:formatCode>
                <c:ptCount val="11"/>
                <c:pt idx="0">
                  <c:v>1.9855682315339938</c:v>
                </c:pt>
                <c:pt idx="1">
                  <c:v>1.9855682315339938</c:v>
                </c:pt>
                <c:pt idx="2">
                  <c:v>1.9855682315339938</c:v>
                </c:pt>
                <c:pt idx="3">
                  <c:v>1.9427856969916726</c:v>
                </c:pt>
                <c:pt idx="4">
                  <c:v>1.8144380933647093</c:v>
                </c:pt>
                <c:pt idx="5">
                  <c:v>1.6860904897377456</c:v>
                </c:pt>
                <c:pt idx="6">
                  <c:v>1.6433079551954248</c:v>
                </c:pt>
                <c:pt idx="7">
                  <c:v>1.3010476788568559</c:v>
                </c:pt>
                <c:pt idx="8">
                  <c:v>1.1299175406875714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ED9-484F-8E2E-CB7C89DB1989}"/>
            </c:ext>
          </c:extLst>
        </c:ser>
        <c:ser>
          <c:idx val="2"/>
          <c:order val="2"/>
          <c:spPr>
            <a:ln w="12700">
              <a:solidFill>
                <a:schemeClr val="accent1"/>
              </a:solidFill>
            </a:ln>
          </c:spPr>
          <c:xVal>
            <c:numRef>
              <c:f>'Hydrometer Analysis_MB7'!$I$50:$I$55</c:f>
              <c:numCache>
                <c:formatCode>General</c:formatCode>
                <c:ptCount val="6"/>
                <c:pt idx="0">
                  <c:v>4.75</c:v>
                </c:pt>
                <c:pt idx="1">
                  <c:v>2</c:v>
                </c:pt>
                <c:pt idx="2">
                  <c:v>0.42499999999999999</c:v>
                </c:pt>
                <c:pt idx="3">
                  <c:v>0.15</c:v>
                </c:pt>
                <c:pt idx="4">
                  <c:v>7.4999999999999997E-2</c:v>
                </c:pt>
                <c:pt idx="5">
                  <c:v>3.7154679768342573E-2</c:v>
                </c:pt>
              </c:numCache>
            </c:numRef>
          </c:xVal>
          <c:yVal>
            <c:numRef>
              <c:f>'Hydrometer Analysis_MB7'!$J$50:$J$55</c:f>
              <c:numCache>
                <c:formatCode>General</c:formatCode>
                <c:ptCount val="6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98.923000000000002</c:v>
                </c:pt>
                <c:pt idx="5">
                  <c:v>1.9855682315339938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F46-4173-B508-144E7B9389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3489888"/>
        <c:axId val="493493024"/>
      </c:scatterChart>
      <c:valAx>
        <c:axId val="493489888"/>
        <c:scaling>
          <c:logBase val="10"/>
          <c:orientation val="maxMin"/>
          <c:max val="10"/>
          <c:min val="1E-4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373464373464373"/>
              <c:y val="0.9389317976693479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3493024"/>
        <c:crosses val="autoZero"/>
        <c:crossBetween val="midCat"/>
      </c:valAx>
      <c:valAx>
        <c:axId val="49349302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% Passing</a:t>
                </a:r>
              </a:p>
            </c:rich>
          </c:tx>
          <c:layout>
            <c:manualLayout>
              <c:xMode val="edge"/>
              <c:yMode val="edge"/>
              <c:x val="9.8280098280098208E-3"/>
              <c:y val="0.3271539364701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3489888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263668808940856E-2"/>
          <c:y val="7.5245476511553833E-2"/>
          <c:w val="0.85886201289803998"/>
          <c:h val="0.80814826195506095"/>
        </c:manualLayout>
      </c:layout>
      <c:scatterChart>
        <c:scatterStyle val="smoothMarker"/>
        <c:varyColors val="0"/>
        <c:ser>
          <c:idx val="1"/>
          <c:order val="0"/>
          <c:spPr>
            <a:ln w="28575">
              <a:noFill/>
            </a:ln>
          </c:spPr>
          <c:marker>
            <c:symbol val="plus"/>
            <c:size val="7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Ref>
              <c:f>'Hydrometer Analysis_MB8'!$G$31:$G$41</c:f>
              <c:numCache>
                <c:formatCode>0.000</c:formatCode>
                <c:ptCount val="11"/>
                <c:pt idx="0">
                  <c:v>3.6597471554206354E-2</c:v>
                </c:pt>
                <c:pt idx="1">
                  <c:v>1.1573136671451448E-2</c:v>
                </c:pt>
                <c:pt idx="2">
                  <c:v>8.4636519038918858E-3</c:v>
                </c:pt>
                <c:pt idx="3">
                  <c:v>6.11323053351185E-3</c:v>
                </c:pt>
                <c:pt idx="4">
                  <c:v>3.2538763027898229E-3</c:v>
                </c:pt>
                <c:pt idx="5">
                  <c:v>2.3454580791450125E-3</c:v>
                </c:pt>
                <c:pt idx="6">
                  <c:v>1.7047214959009657E-3</c:v>
                </c:pt>
                <c:pt idx="7">
                  <c:v>9.0400249733592732E-4</c:v>
                </c:pt>
                <c:pt idx="8">
                  <c:v>3.8621341341852982E-4</c:v>
                </c:pt>
              </c:numCache>
            </c:numRef>
          </c:xVal>
          <c:yVal>
            <c:numRef>
              <c:f>'Hydrometer Analysis_MB8'!$H$31:$H$41</c:f>
              <c:numCache>
                <c:formatCode>0</c:formatCode>
                <c:ptCount val="11"/>
                <c:pt idx="0">
                  <c:v>2.4536003908394388</c:v>
                </c:pt>
                <c:pt idx="1">
                  <c:v>2.4536003908394388</c:v>
                </c:pt>
                <c:pt idx="2">
                  <c:v>2.2969937642381812</c:v>
                </c:pt>
                <c:pt idx="3">
                  <c:v>2.1925893465040094</c:v>
                </c:pt>
                <c:pt idx="4">
                  <c:v>2.0359827199027523</c:v>
                </c:pt>
                <c:pt idx="5">
                  <c:v>1.9315783021685804</c:v>
                </c:pt>
                <c:pt idx="6">
                  <c:v>1.7749716755673228</c:v>
                </c:pt>
                <c:pt idx="7">
                  <c:v>1.409556213497722</c:v>
                </c:pt>
                <c:pt idx="8">
                  <c:v>1.1176868774346924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675-4781-8228-233C2DAE1A6B}"/>
            </c:ext>
          </c:extLst>
        </c:ser>
        <c:ser>
          <c:idx val="0"/>
          <c:order val="1"/>
          <c:spPr>
            <a:ln w="12700">
              <a:solidFill>
                <a:schemeClr val="accent1"/>
              </a:solidFill>
            </a:ln>
          </c:spPr>
          <c:xVal>
            <c:numRef>
              <c:f>'Hydrometer Analysis_MB8'!$G$31:$G$41</c:f>
              <c:numCache>
                <c:formatCode>0.000</c:formatCode>
                <c:ptCount val="11"/>
                <c:pt idx="0">
                  <c:v>3.6597471554206354E-2</c:v>
                </c:pt>
                <c:pt idx="1">
                  <c:v>1.1573136671451448E-2</c:v>
                </c:pt>
                <c:pt idx="2">
                  <c:v>8.4636519038918858E-3</c:v>
                </c:pt>
                <c:pt idx="3">
                  <c:v>6.11323053351185E-3</c:v>
                </c:pt>
                <c:pt idx="4">
                  <c:v>3.2538763027898229E-3</c:v>
                </c:pt>
                <c:pt idx="5">
                  <c:v>2.3454580791450125E-3</c:v>
                </c:pt>
                <c:pt idx="6">
                  <c:v>1.7047214959009657E-3</c:v>
                </c:pt>
                <c:pt idx="7">
                  <c:v>9.0400249733592732E-4</c:v>
                </c:pt>
                <c:pt idx="8">
                  <c:v>3.8621341341852982E-4</c:v>
                </c:pt>
              </c:numCache>
            </c:numRef>
          </c:xVal>
          <c:yVal>
            <c:numRef>
              <c:f>'Hydrometer Analysis_MB8'!$H$31:$H$41</c:f>
              <c:numCache>
                <c:formatCode>0</c:formatCode>
                <c:ptCount val="11"/>
                <c:pt idx="0">
                  <c:v>2.4536003908394388</c:v>
                </c:pt>
                <c:pt idx="1">
                  <c:v>2.4536003908394388</c:v>
                </c:pt>
                <c:pt idx="2">
                  <c:v>2.2969937642381812</c:v>
                </c:pt>
                <c:pt idx="3">
                  <c:v>2.1925893465040094</c:v>
                </c:pt>
                <c:pt idx="4">
                  <c:v>2.0359827199027523</c:v>
                </c:pt>
                <c:pt idx="5">
                  <c:v>1.9315783021685804</c:v>
                </c:pt>
                <c:pt idx="6">
                  <c:v>1.7749716755673228</c:v>
                </c:pt>
                <c:pt idx="7">
                  <c:v>1.409556213497722</c:v>
                </c:pt>
                <c:pt idx="8">
                  <c:v>1.1176868774346924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ED9-484F-8E2E-CB7C89DB1989}"/>
            </c:ext>
          </c:extLst>
        </c:ser>
        <c:ser>
          <c:idx val="2"/>
          <c:order val="2"/>
          <c:spPr>
            <a:ln w="12700">
              <a:solidFill>
                <a:schemeClr val="accent1"/>
              </a:solidFill>
            </a:ln>
          </c:spPr>
          <c:xVal>
            <c:numRef>
              <c:f>'Hydrometer Analysis_MB8'!$I$50:$I$55</c:f>
              <c:numCache>
                <c:formatCode>General</c:formatCode>
                <c:ptCount val="6"/>
                <c:pt idx="0">
                  <c:v>4.75</c:v>
                </c:pt>
                <c:pt idx="1">
                  <c:v>2</c:v>
                </c:pt>
                <c:pt idx="2">
                  <c:v>0.42499999999999999</c:v>
                </c:pt>
                <c:pt idx="3">
                  <c:v>0.15</c:v>
                </c:pt>
                <c:pt idx="4">
                  <c:v>7.4999999999999997E-2</c:v>
                </c:pt>
                <c:pt idx="5">
                  <c:v>3.6999999999999998E-2</c:v>
                </c:pt>
              </c:numCache>
            </c:numRef>
          </c:xVal>
          <c:yVal>
            <c:numRef>
              <c:f>'Hydrometer Analysis_MB8'!$J$50:$J$55</c:f>
              <c:numCache>
                <c:formatCode>General</c:formatCode>
                <c:ptCount val="6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99.307500000000005</c:v>
                </c:pt>
                <c:pt idx="5">
                  <c:v>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F46-4173-B508-144E7B9389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3498120"/>
        <c:axId val="493494984"/>
      </c:scatterChart>
      <c:valAx>
        <c:axId val="493498120"/>
        <c:scaling>
          <c:logBase val="10"/>
          <c:orientation val="maxMin"/>
          <c:max val="10"/>
          <c:min val="1E-4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373464373464373"/>
              <c:y val="0.9389317976693479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3494984"/>
        <c:crosses val="autoZero"/>
        <c:crossBetween val="midCat"/>
      </c:valAx>
      <c:valAx>
        <c:axId val="49349498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% Passing</a:t>
                </a:r>
              </a:p>
            </c:rich>
          </c:tx>
          <c:layout>
            <c:manualLayout>
              <c:xMode val="edge"/>
              <c:yMode val="edge"/>
              <c:x val="9.8280098280098208E-3"/>
              <c:y val="0.3271539364701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3498120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GB"/>
              <a:t>Flow Curve, Frame</a:t>
            </a:r>
            <a:r>
              <a:rPr lang="en-GB" baseline="0"/>
              <a:t> #1 Atlantic Ocean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lt1"/>
              </a:solidFill>
              <a:ln w="15875">
                <a:solidFill>
                  <a:schemeClr val="accent1"/>
                </a:solidFill>
                <a:round/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'Atterberg Limits'!$B$18:$D$18</c:f>
              <c:numCache>
                <c:formatCode>General</c:formatCode>
                <c:ptCount val="3"/>
                <c:pt idx="0">
                  <c:v>31</c:v>
                </c:pt>
                <c:pt idx="1">
                  <c:v>24</c:v>
                </c:pt>
                <c:pt idx="2">
                  <c:v>17</c:v>
                </c:pt>
              </c:numCache>
            </c:numRef>
          </c:xVal>
          <c:yVal>
            <c:numRef>
              <c:f>'Atterberg Limits'!$B$17:$D$17</c:f>
              <c:numCache>
                <c:formatCode>General</c:formatCode>
                <c:ptCount val="3"/>
                <c:pt idx="0">
                  <c:v>51.17647058823529</c:v>
                </c:pt>
                <c:pt idx="1">
                  <c:v>53.260869565217398</c:v>
                </c:pt>
                <c:pt idx="2">
                  <c:v>55.607476635514018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4F-4E62-9D08-EFD220F0BB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798008"/>
        <c:axId val="491798400"/>
      </c:scatterChart>
      <c:valAx>
        <c:axId val="491798008"/>
        <c:scaling>
          <c:orientation val="minMax"/>
          <c:min val="10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Number of Blows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798400"/>
        <c:crosses val="autoZero"/>
        <c:crossBetween val="midCat"/>
      </c:valAx>
      <c:valAx>
        <c:axId val="491798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/>
                  <a:t>Water Content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798008"/>
        <c:crosses val="autoZero"/>
        <c:crossBetween val="midCat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GB"/>
              <a:t>Flow Curve</a:t>
            </a:r>
            <a:r>
              <a:rPr lang="en-GB" sz="1600" b="1" i="0" u="none" strike="noStrike" cap="none" normalizeH="0" baseline="0">
                <a:effectLst/>
              </a:rPr>
              <a:t>, Frame #2 Atlantic Ocean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lt1"/>
              </a:solidFill>
              <a:ln w="15875">
                <a:solidFill>
                  <a:schemeClr val="accent1"/>
                </a:solidFill>
                <a:round/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'Atterberg Limits'!$B$38:$D$38</c:f>
              <c:numCache>
                <c:formatCode>General</c:formatCode>
                <c:ptCount val="3"/>
                <c:pt idx="0">
                  <c:v>30</c:v>
                </c:pt>
                <c:pt idx="1">
                  <c:v>23</c:v>
                </c:pt>
                <c:pt idx="2">
                  <c:v>18</c:v>
                </c:pt>
              </c:numCache>
            </c:numRef>
          </c:xVal>
          <c:yVal>
            <c:numRef>
              <c:f>'Atterberg Limits'!$B$37:$D$37</c:f>
              <c:numCache>
                <c:formatCode>General</c:formatCode>
                <c:ptCount val="3"/>
                <c:pt idx="0">
                  <c:v>43.674889310562939</c:v>
                </c:pt>
                <c:pt idx="1">
                  <c:v>46.422398893881784</c:v>
                </c:pt>
                <c:pt idx="2">
                  <c:v>47.735442127965463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55F-4EF6-AC3D-CF17702A0D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801536"/>
        <c:axId val="491802712"/>
      </c:scatterChart>
      <c:valAx>
        <c:axId val="491801536"/>
        <c:scaling>
          <c:orientation val="minMax"/>
          <c:min val="10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Number of Blows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802712"/>
        <c:crosses val="autoZero"/>
        <c:crossBetween val="midCat"/>
      </c:valAx>
      <c:valAx>
        <c:axId val="491802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/>
                  <a:t>Water Content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801536"/>
        <c:crosses val="autoZero"/>
        <c:crossBetween val="midCat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GB"/>
              <a:t>Flow Curve</a:t>
            </a:r>
            <a:r>
              <a:rPr lang="en-GB" sz="1600" b="1" i="0" u="none" strike="noStrike" cap="none" normalizeH="0" baseline="0">
                <a:effectLst/>
              </a:rPr>
              <a:t>, Frame #3 Atlantic Ocean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lt1"/>
              </a:solidFill>
              <a:ln w="15875">
                <a:solidFill>
                  <a:schemeClr val="accent1"/>
                </a:solidFill>
                <a:round/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'Atterberg Limits'!$B$59:$D$59</c:f>
              <c:numCache>
                <c:formatCode>General</c:formatCode>
                <c:ptCount val="3"/>
                <c:pt idx="0">
                  <c:v>31</c:v>
                </c:pt>
                <c:pt idx="1">
                  <c:v>24</c:v>
                </c:pt>
                <c:pt idx="2">
                  <c:v>17</c:v>
                </c:pt>
              </c:numCache>
            </c:numRef>
          </c:xVal>
          <c:yVal>
            <c:numRef>
              <c:f>'Atterberg Limits'!$B$58:$D$58</c:f>
              <c:numCache>
                <c:formatCode>General</c:formatCode>
                <c:ptCount val="3"/>
                <c:pt idx="0">
                  <c:v>33.836416747809167</c:v>
                </c:pt>
                <c:pt idx="1">
                  <c:v>34.762741652021063</c:v>
                </c:pt>
                <c:pt idx="2">
                  <c:v>36.959247648902817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784-4F3C-A550-7770FDAFFC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800752"/>
        <c:axId val="491799184"/>
      </c:scatterChart>
      <c:valAx>
        <c:axId val="491800752"/>
        <c:scaling>
          <c:orientation val="minMax"/>
          <c:min val="10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Number of Blows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799184"/>
        <c:crosses val="autoZero"/>
        <c:crossBetween val="midCat"/>
      </c:valAx>
      <c:valAx>
        <c:axId val="491799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/>
                  <a:t>Water Content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800752"/>
        <c:crosses val="autoZero"/>
        <c:crossBetween val="midCat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GB"/>
              <a:t>Flow Curve</a:t>
            </a:r>
            <a:r>
              <a:rPr lang="en-GB" sz="1600" b="1" i="0" u="none" strike="noStrike" cap="none" normalizeH="0" baseline="0">
                <a:effectLst/>
              </a:rPr>
              <a:t>, Frame #4 Atlantic Ocean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lt1"/>
              </a:solidFill>
              <a:ln w="15875">
                <a:solidFill>
                  <a:schemeClr val="accent1"/>
                </a:solidFill>
                <a:round/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'Atterberg Limits'!$B$80:$D$80</c:f>
              <c:numCache>
                <c:formatCode>General</c:formatCode>
                <c:ptCount val="3"/>
                <c:pt idx="0">
                  <c:v>30</c:v>
                </c:pt>
                <c:pt idx="1">
                  <c:v>24</c:v>
                </c:pt>
                <c:pt idx="2">
                  <c:v>18</c:v>
                </c:pt>
              </c:numCache>
            </c:numRef>
          </c:xVal>
          <c:yVal>
            <c:numRef>
              <c:f>'Atterberg Limits'!$B$79:$D$79</c:f>
              <c:numCache>
                <c:formatCode>General</c:formatCode>
                <c:ptCount val="3"/>
                <c:pt idx="0">
                  <c:v>50.681918169819596</c:v>
                </c:pt>
                <c:pt idx="1">
                  <c:v>52.808988764044948</c:v>
                </c:pt>
                <c:pt idx="2">
                  <c:v>53.882575757575765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8B5-4446-957F-0871CC50B6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806632"/>
        <c:axId val="490099248"/>
      </c:scatterChart>
      <c:valAx>
        <c:axId val="491806632"/>
        <c:scaling>
          <c:orientation val="minMax"/>
          <c:min val="10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Number of Blows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0099248"/>
        <c:crosses val="autoZero"/>
        <c:crossBetween val="midCat"/>
      </c:valAx>
      <c:valAx>
        <c:axId val="490099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/>
                  <a:t>Water Content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806632"/>
        <c:crosses val="autoZero"/>
        <c:crossBetween val="midCat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GB"/>
              <a:t>Flow Curve</a:t>
            </a:r>
            <a:r>
              <a:rPr lang="en-GB" sz="1600" b="1" i="0" u="none" strike="noStrike" cap="none" normalizeH="0" baseline="0">
                <a:effectLst/>
              </a:rPr>
              <a:t>, Frame #5 Atlantic Ocean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lt1"/>
              </a:solidFill>
              <a:ln w="15875">
                <a:solidFill>
                  <a:schemeClr val="accent1"/>
                </a:solidFill>
                <a:round/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'Atterberg Limits'!$B$101:$D$101</c:f>
              <c:numCache>
                <c:formatCode>General</c:formatCode>
                <c:ptCount val="3"/>
                <c:pt idx="0">
                  <c:v>31</c:v>
                </c:pt>
                <c:pt idx="1">
                  <c:v>27</c:v>
                </c:pt>
                <c:pt idx="2">
                  <c:v>18</c:v>
                </c:pt>
              </c:numCache>
            </c:numRef>
          </c:xVal>
          <c:yVal>
            <c:numRef>
              <c:f>'Atterberg Limits'!$B$100:$D$100</c:f>
              <c:numCache>
                <c:formatCode>General</c:formatCode>
                <c:ptCount val="3"/>
                <c:pt idx="0">
                  <c:v>35.708692247454991</c:v>
                </c:pt>
                <c:pt idx="1">
                  <c:v>38.634686346863496</c:v>
                </c:pt>
                <c:pt idx="2">
                  <c:v>41.290958364129089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88E-4B98-93E6-6E318EFA4E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0093760"/>
        <c:axId val="490101208"/>
      </c:scatterChart>
      <c:valAx>
        <c:axId val="490093760"/>
        <c:scaling>
          <c:orientation val="minMax"/>
          <c:min val="10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Number of Blows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0101208"/>
        <c:crosses val="autoZero"/>
        <c:crossBetween val="midCat"/>
      </c:valAx>
      <c:valAx>
        <c:axId val="490101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/>
                  <a:t>Water Content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0093760"/>
        <c:crosses val="autoZero"/>
        <c:crossBetween val="midCat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GB"/>
              <a:t>Flow Curve</a:t>
            </a:r>
            <a:r>
              <a:rPr lang="en-GB" sz="1600" b="1" i="0" u="none" strike="noStrike" cap="none" normalizeH="0" baseline="0">
                <a:effectLst/>
              </a:rPr>
              <a:t>, Frame #1 Sea Wall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lt1"/>
              </a:solidFill>
              <a:ln w="15875">
                <a:solidFill>
                  <a:schemeClr val="accent1"/>
                </a:solidFill>
                <a:round/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'Atterberg Limits'!$B$130:$D$130</c:f>
              <c:numCache>
                <c:formatCode>General</c:formatCode>
                <c:ptCount val="3"/>
                <c:pt idx="0">
                  <c:v>30</c:v>
                </c:pt>
                <c:pt idx="1">
                  <c:v>22</c:v>
                </c:pt>
                <c:pt idx="2">
                  <c:v>17</c:v>
                </c:pt>
              </c:numCache>
            </c:numRef>
          </c:xVal>
          <c:yVal>
            <c:numRef>
              <c:f>'Atterberg Limits'!$B$129:$D$129</c:f>
              <c:numCache>
                <c:formatCode>General</c:formatCode>
                <c:ptCount val="3"/>
                <c:pt idx="0">
                  <c:v>98.969451601030542</c:v>
                </c:pt>
                <c:pt idx="1">
                  <c:v>101.2939749292357</c:v>
                </c:pt>
                <c:pt idx="2">
                  <c:v>102.05580029368578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AB2-4D4E-B142-5BBDFB738D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0103952"/>
        <c:axId val="490094936"/>
      </c:scatterChart>
      <c:valAx>
        <c:axId val="490103952"/>
        <c:scaling>
          <c:orientation val="minMax"/>
          <c:min val="10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Number of Blows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0094936"/>
        <c:crosses val="autoZero"/>
        <c:crossBetween val="midCat"/>
      </c:valAx>
      <c:valAx>
        <c:axId val="490094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/>
                  <a:t>Water Content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0103952"/>
        <c:crosses val="autoZero"/>
        <c:crossBetween val="midCat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GB"/>
              <a:t>Flow Curve</a:t>
            </a:r>
            <a:r>
              <a:rPr lang="en-GB" sz="1600" b="1" i="0" u="none" strike="noStrike" cap="none" normalizeH="0" baseline="0">
                <a:effectLst/>
              </a:rPr>
              <a:t>, Frame #2 Sea Wall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lt1"/>
              </a:solidFill>
              <a:ln w="15875">
                <a:solidFill>
                  <a:schemeClr val="accent1"/>
                </a:solidFill>
                <a:round/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'Atterberg Limits'!$B$151:$D$151</c:f>
              <c:numCache>
                <c:formatCode>General</c:formatCode>
                <c:ptCount val="3"/>
                <c:pt idx="0">
                  <c:v>31</c:v>
                </c:pt>
                <c:pt idx="1">
                  <c:v>25</c:v>
                </c:pt>
                <c:pt idx="2">
                  <c:v>16</c:v>
                </c:pt>
              </c:numCache>
            </c:numRef>
          </c:xVal>
          <c:yVal>
            <c:numRef>
              <c:f>'Atterberg Limits'!$B$150:$D$150</c:f>
              <c:numCache>
                <c:formatCode>General</c:formatCode>
                <c:ptCount val="3"/>
                <c:pt idx="0">
                  <c:v>81.47321428571432</c:v>
                </c:pt>
                <c:pt idx="1">
                  <c:v>89.088349172826454</c:v>
                </c:pt>
                <c:pt idx="2">
                  <c:v>94.10551134689068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534-48F4-A1F7-F3C3A4A043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0095720"/>
        <c:axId val="490098856"/>
      </c:scatterChart>
      <c:valAx>
        <c:axId val="490095720"/>
        <c:scaling>
          <c:orientation val="minMax"/>
          <c:min val="10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Number of Blows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0098856"/>
        <c:crosses val="autoZero"/>
        <c:crossBetween val="midCat"/>
      </c:valAx>
      <c:valAx>
        <c:axId val="490098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/>
                  <a:t>Water Content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0095720"/>
        <c:crosses val="autoZero"/>
        <c:crossBetween val="midCat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GB"/>
              <a:t>Flow Curve</a:t>
            </a:r>
            <a:r>
              <a:rPr lang="en-GB" sz="1600" b="1" i="0" u="none" strike="noStrike" cap="none" normalizeH="0" baseline="0">
                <a:effectLst/>
              </a:rPr>
              <a:t>, Frame #3 Sea Wall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lt1"/>
              </a:solidFill>
              <a:ln w="15875">
                <a:solidFill>
                  <a:schemeClr val="accent1"/>
                </a:solidFill>
                <a:round/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'Atterberg Limits'!$B$173:$D$173</c:f>
              <c:numCache>
                <c:formatCode>General</c:formatCode>
                <c:ptCount val="3"/>
                <c:pt idx="0">
                  <c:v>33</c:v>
                </c:pt>
                <c:pt idx="1">
                  <c:v>25</c:v>
                </c:pt>
                <c:pt idx="2">
                  <c:v>15</c:v>
                </c:pt>
              </c:numCache>
            </c:numRef>
          </c:xVal>
          <c:yVal>
            <c:numRef>
              <c:f>'Atterberg Limits'!$B$172:$D$172</c:f>
              <c:numCache>
                <c:formatCode>General</c:formatCode>
                <c:ptCount val="3"/>
                <c:pt idx="0">
                  <c:v>77.305450805622201</c:v>
                </c:pt>
                <c:pt idx="1">
                  <c:v>79.463087248322154</c:v>
                </c:pt>
                <c:pt idx="2">
                  <c:v>83.222198322219867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E19-4D89-88F8-027717DA2D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0104344"/>
        <c:axId val="490094544"/>
      </c:scatterChart>
      <c:valAx>
        <c:axId val="490104344"/>
        <c:scaling>
          <c:orientation val="minMax"/>
          <c:min val="10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Number of Blows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0094544"/>
        <c:crosses val="autoZero"/>
        <c:crossBetween val="midCat"/>
      </c:valAx>
      <c:valAx>
        <c:axId val="490094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/>
                  <a:t>Water Content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0104344"/>
        <c:crosses val="autoZero"/>
        <c:crossBetween val="midCat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3EE07D3-F601-4F8C-87AB-74FF2D4ECEBB}">
  <sheetPr/>
  <sheetViews>
    <sheetView zoomScale="8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.xml"/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6674" cy="628207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C9B6657-CFED-414C-B245-7331369A161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0.13554</cdr:x>
      <cdr:y>0.04346</cdr:y>
    </cdr:from>
    <cdr:to>
      <cdr:x>0.16667</cdr:x>
      <cdr:y>0.08267</cdr:y>
    </cdr:to>
    <cdr:sp macro="" textlink="">
      <cdr:nvSpPr>
        <cdr:cNvPr id="2" name="Text Box -10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2310" y="169466"/>
          <a:ext cx="161290" cy="152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6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0.19779</cdr:x>
      <cdr:y>0.04346</cdr:y>
    </cdr:from>
    <cdr:to>
      <cdr:x>0.23701</cdr:x>
      <cdr:y>0.08267</cdr:y>
    </cdr:to>
    <cdr:sp macro="" textlink="">
      <cdr:nvSpPr>
        <cdr:cNvPr id="3" name="Text Box -10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24890" y="169466"/>
          <a:ext cx="203200" cy="152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6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0.31544</cdr:x>
      <cdr:y>0.04346</cdr:y>
    </cdr:from>
    <cdr:to>
      <cdr:x>0.35466</cdr:x>
      <cdr:y>0.08267</cdr:y>
    </cdr:to>
    <cdr:sp macro="" textlink="">
      <cdr:nvSpPr>
        <cdr:cNvPr id="4" name="Text Box -10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34490" y="169466"/>
          <a:ext cx="203200" cy="152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6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0.44436</cdr:x>
      <cdr:y>0.04346</cdr:y>
    </cdr:from>
    <cdr:to>
      <cdr:x>0.49191</cdr:x>
      <cdr:y>0.08267</cdr:y>
    </cdr:to>
    <cdr:sp macro="" textlink="">
      <cdr:nvSpPr>
        <cdr:cNvPr id="5" name="Text Box -10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02510" y="169466"/>
          <a:ext cx="246380" cy="152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6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0.06863</cdr:x>
      <cdr:y>0.03032</cdr:y>
    </cdr:from>
    <cdr:to>
      <cdr:x>0.14216</cdr:x>
      <cdr:y>0.06952</cdr:y>
    </cdr:to>
    <cdr:sp macro="" textlink="">
      <cdr:nvSpPr>
        <cdr:cNvPr id="6" name="Text Box -10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5600" y="118202"/>
          <a:ext cx="381000" cy="152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0.14534</cdr:x>
      <cdr:y>0.01303</cdr:y>
    </cdr:from>
    <cdr:to>
      <cdr:x>0.20907</cdr:x>
      <cdr:y>0.08267</cdr:y>
    </cdr:to>
    <cdr:sp macro="" textlink="">
      <cdr:nvSpPr>
        <cdr:cNvPr id="7" name="Text Box -10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10" y="50800"/>
          <a:ext cx="330200" cy="2715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6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0.23529</cdr:x>
      <cdr:y>0.01303</cdr:y>
    </cdr:from>
    <cdr:to>
      <cdr:x>0.30392</cdr:x>
      <cdr:y>0.08267</cdr:y>
    </cdr:to>
    <cdr:sp macro="" textlink="">
      <cdr:nvSpPr>
        <cdr:cNvPr id="8" name="Text Box -10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19200" y="50800"/>
          <a:ext cx="355600" cy="2715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6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0.36936</cdr:x>
      <cdr:y>0.01303</cdr:y>
    </cdr:from>
    <cdr:to>
      <cdr:x>0.42475</cdr:x>
      <cdr:y>0.08267</cdr:y>
    </cdr:to>
    <cdr:sp macro="" textlink="">
      <cdr:nvSpPr>
        <cdr:cNvPr id="9" name="Text Box -10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13890" y="50800"/>
          <a:ext cx="287020" cy="2715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6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0.61446</cdr:x>
      <cdr:y>0.0196</cdr:y>
    </cdr:from>
    <cdr:to>
      <cdr:x>0.72549</cdr:x>
      <cdr:y>0.06075</cdr:y>
    </cdr:to>
    <cdr:sp macro="" textlink="">
      <cdr:nvSpPr>
        <cdr:cNvPr id="10" name="Text Box -10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3890" y="76432"/>
          <a:ext cx="575310" cy="1604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43</xdr:row>
      <xdr:rowOff>123093</xdr:rowOff>
    </xdr:from>
    <xdr:to>
      <xdr:col>6</xdr:col>
      <xdr:colOff>827484</xdr:colOff>
      <xdr:row>65</xdr:row>
      <xdr:rowOff>118697</xdr:rowOff>
    </xdr:to>
    <xdr:graphicFrame macro="">
      <xdr:nvGraphicFramePr>
        <xdr:cNvPr id="2" name="Chart -1023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0.13554</cdr:x>
      <cdr:y>0.04346</cdr:y>
    </cdr:from>
    <cdr:to>
      <cdr:x>0.16667</cdr:x>
      <cdr:y>0.08267</cdr:y>
    </cdr:to>
    <cdr:sp macro="" textlink="">
      <cdr:nvSpPr>
        <cdr:cNvPr id="2" name="Text Box -10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2310" y="169466"/>
          <a:ext cx="161290" cy="152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6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0.19779</cdr:x>
      <cdr:y>0.04346</cdr:y>
    </cdr:from>
    <cdr:to>
      <cdr:x>0.23701</cdr:x>
      <cdr:y>0.08267</cdr:y>
    </cdr:to>
    <cdr:sp macro="" textlink="">
      <cdr:nvSpPr>
        <cdr:cNvPr id="3" name="Text Box -10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24890" y="169466"/>
          <a:ext cx="203200" cy="152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6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0.31544</cdr:x>
      <cdr:y>0.04346</cdr:y>
    </cdr:from>
    <cdr:to>
      <cdr:x>0.35466</cdr:x>
      <cdr:y>0.08267</cdr:y>
    </cdr:to>
    <cdr:sp macro="" textlink="">
      <cdr:nvSpPr>
        <cdr:cNvPr id="4" name="Text Box -10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34490" y="169466"/>
          <a:ext cx="203200" cy="152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6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0.44436</cdr:x>
      <cdr:y>0.04346</cdr:y>
    </cdr:from>
    <cdr:to>
      <cdr:x>0.49191</cdr:x>
      <cdr:y>0.08267</cdr:y>
    </cdr:to>
    <cdr:sp macro="" textlink="">
      <cdr:nvSpPr>
        <cdr:cNvPr id="5" name="Text Box -10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02510" y="169466"/>
          <a:ext cx="246380" cy="152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6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0.06863</cdr:x>
      <cdr:y>0.03032</cdr:y>
    </cdr:from>
    <cdr:to>
      <cdr:x>0.14216</cdr:x>
      <cdr:y>0.06952</cdr:y>
    </cdr:to>
    <cdr:sp macro="" textlink="">
      <cdr:nvSpPr>
        <cdr:cNvPr id="6" name="Text Box -10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5600" y="118202"/>
          <a:ext cx="381000" cy="152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0.14534</cdr:x>
      <cdr:y>0.01303</cdr:y>
    </cdr:from>
    <cdr:to>
      <cdr:x>0.20907</cdr:x>
      <cdr:y>0.08267</cdr:y>
    </cdr:to>
    <cdr:sp macro="" textlink="">
      <cdr:nvSpPr>
        <cdr:cNvPr id="7" name="Text Box -10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10" y="50800"/>
          <a:ext cx="330200" cy="2715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6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0.23529</cdr:x>
      <cdr:y>0.01303</cdr:y>
    </cdr:from>
    <cdr:to>
      <cdr:x>0.30392</cdr:x>
      <cdr:y>0.08267</cdr:y>
    </cdr:to>
    <cdr:sp macro="" textlink="">
      <cdr:nvSpPr>
        <cdr:cNvPr id="8" name="Text Box -10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19200" y="50800"/>
          <a:ext cx="355600" cy="2715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6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0.36936</cdr:x>
      <cdr:y>0.01303</cdr:y>
    </cdr:from>
    <cdr:to>
      <cdr:x>0.42475</cdr:x>
      <cdr:y>0.08267</cdr:y>
    </cdr:to>
    <cdr:sp macro="" textlink="">
      <cdr:nvSpPr>
        <cdr:cNvPr id="9" name="Text Box -10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13890" y="50800"/>
          <a:ext cx="287020" cy="2715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6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0.61446</cdr:x>
      <cdr:y>0.0196</cdr:y>
    </cdr:from>
    <cdr:to>
      <cdr:x>0.72549</cdr:x>
      <cdr:y>0.06075</cdr:y>
    </cdr:to>
    <cdr:sp macro="" textlink="">
      <cdr:nvSpPr>
        <cdr:cNvPr id="10" name="Text Box -10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3890" y="76432"/>
          <a:ext cx="575310" cy="1604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43</xdr:row>
      <xdr:rowOff>123093</xdr:rowOff>
    </xdr:from>
    <xdr:to>
      <xdr:col>6</xdr:col>
      <xdr:colOff>827484</xdr:colOff>
      <xdr:row>65</xdr:row>
      <xdr:rowOff>118697</xdr:rowOff>
    </xdr:to>
    <xdr:graphicFrame macro="">
      <xdr:nvGraphicFramePr>
        <xdr:cNvPr id="2" name="Chart -1023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0.13554</cdr:x>
      <cdr:y>0.04346</cdr:y>
    </cdr:from>
    <cdr:to>
      <cdr:x>0.16667</cdr:x>
      <cdr:y>0.08267</cdr:y>
    </cdr:to>
    <cdr:sp macro="" textlink="">
      <cdr:nvSpPr>
        <cdr:cNvPr id="2" name="Text Box -10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2310" y="169466"/>
          <a:ext cx="161290" cy="152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6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0.19779</cdr:x>
      <cdr:y>0.04346</cdr:y>
    </cdr:from>
    <cdr:to>
      <cdr:x>0.23701</cdr:x>
      <cdr:y>0.08267</cdr:y>
    </cdr:to>
    <cdr:sp macro="" textlink="">
      <cdr:nvSpPr>
        <cdr:cNvPr id="3" name="Text Box -10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24890" y="169466"/>
          <a:ext cx="203200" cy="152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6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0.31544</cdr:x>
      <cdr:y>0.04346</cdr:y>
    </cdr:from>
    <cdr:to>
      <cdr:x>0.35466</cdr:x>
      <cdr:y>0.08267</cdr:y>
    </cdr:to>
    <cdr:sp macro="" textlink="">
      <cdr:nvSpPr>
        <cdr:cNvPr id="4" name="Text Box -10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34490" y="169466"/>
          <a:ext cx="203200" cy="152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6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0.44436</cdr:x>
      <cdr:y>0.04346</cdr:y>
    </cdr:from>
    <cdr:to>
      <cdr:x>0.49191</cdr:x>
      <cdr:y>0.08267</cdr:y>
    </cdr:to>
    <cdr:sp macro="" textlink="">
      <cdr:nvSpPr>
        <cdr:cNvPr id="5" name="Text Box -10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02510" y="169466"/>
          <a:ext cx="246380" cy="152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6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0.06863</cdr:x>
      <cdr:y>0.03032</cdr:y>
    </cdr:from>
    <cdr:to>
      <cdr:x>0.14216</cdr:x>
      <cdr:y>0.06952</cdr:y>
    </cdr:to>
    <cdr:sp macro="" textlink="">
      <cdr:nvSpPr>
        <cdr:cNvPr id="6" name="Text Box -10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5600" y="118202"/>
          <a:ext cx="381000" cy="152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0.14534</cdr:x>
      <cdr:y>0.01303</cdr:y>
    </cdr:from>
    <cdr:to>
      <cdr:x>0.20907</cdr:x>
      <cdr:y>0.08267</cdr:y>
    </cdr:to>
    <cdr:sp macro="" textlink="">
      <cdr:nvSpPr>
        <cdr:cNvPr id="7" name="Text Box -10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10" y="50800"/>
          <a:ext cx="330200" cy="2715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6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0.23529</cdr:x>
      <cdr:y>0.01303</cdr:y>
    </cdr:from>
    <cdr:to>
      <cdr:x>0.30392</cdr:x>
      <cdr:y>0.08267</cdr:y>
    </cdr:to>
    <cdr:sp macro="" textlink="">
      <cdr:nvSpPr>
        <cdr:cNvPr id="8" name="Text Box -10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19200" y="50800"/>
          <a:ext cx="355600" cy="2715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6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0.36936</cdr:x>
      <cdr:y>0.01303</cdr:y>
    </cdr:from>
    <cdr:to>
      <cdr:x>0.42475</cdr:x>
      <cdr:y>0.08267</cdr:y>
    </cdr:to>
    <cdr:sp macro="" textlink="">
      <cdr:nvSpPr>
        <cdr:cNvPr id="9" name="Text Box -10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13890" y="50800"/>
          <a:ext cx="287020" cy="2715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6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0.61446</cdr:x>
      <cdr:y>0.0196</cdr:y>
    </cdr:from>
    <cdr:to>
      <cdr:x>0.72549</cdr:x>
      <cdr:y>0.06075</cdr:y>
    </cdr:to>
    <cdr:sp macro="" textlink="">
      <cdr:nvSpPr>
        <cdr:cNvPr id="10" name="Text Box -10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3890" y="76432"/>
          <a:ext cx="575310" cy="1604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43</xdr:row>
      <xdr:rowOff>123093</xdr:rowOff>
    </xdr:from>
    <xdr:to>
      <xdr:col>6</xdr:col>
      <xdr:colOff>827484</xdr:colOff>
      <xdr:row>65</xdr:row>
      <xdr:rowOff>118697</xdr:rowOff>
    </xdr:to>
    <xdr:graphicFrame macro="">
      <xdr:nvGraphicFramePr>
        <xdr:cNvPr id="2" name="Chart -1023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0.13554</cdr:x>
      <cdr:y>0.04346</cdr:y>
    </cdr:from>
    <cdr:to>
      <cdr:x>0.16667</cdr:x>
      <cdr:y>0.08267</cdr:y>
    </cdr:to>
    <cdr:sp macro="" textlink="">
      <cdr:nvSpPr>
        <cdr:cNvPr id="2" name="Text Box -10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2310" y="169466"/>
          <a:ext cx="161290" cy="152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6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0.19779</cdr:x>
      <cdr:y>0.04346</cdr:y>
    </cdr:from>
    <cdr:to>
      <cdr:x>0.23701</cdr:x>
      <cdr:y>0.08267</cdr:y>
    </cdr:to>
    <cdr:sp macro="" textlink="">
      <cdr:nvSpPr>
        <cdr:cNvPr id="3" name="Text Box -10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24890" y="169466"/>
          <a:ext cx="203200" cy="152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6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0.31544</cdr:x>
      <cdr:y>0.04346</cdr:y>
    </cdr:from>
    <cdr:to>
      <cdr:x>0.35466</cdr:x>
      <cdr:y>0.08267</cdr:y>
    </cdr:to>
    <cdr:sp macro="" textlink="">
      <cdr:nvSpPr>
        <cdr:cNvPr id="4" name="Text Box -10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34490" y="169466"/>
          <a:ext cx="203200" cy="152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6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0.44436</cdr:x>
      <cdr:y>0.04346</cdr:y>
    </cdr:from>
    <cdr:to>
      <cdr:x>0.49191</cdr:x>
      <cdr:y>0.08267</cdr:y>
    </cdr:to>
    <cdr:sp macro="" textlink="">
      <cdr:nvSpPr>
        <cdr:cNvPr id="5" name="Text Box -10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02510" y="169466"/>
          <a:ext cx="246380" cy="152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6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0.06863</cdr:x>
      <cdr:y>0.03032</cdr:y>
    </cdr:from>
    <cdr:to>
      <cdr:x>0.14216</cdr:x>
      <cdr:y>0.06952</cdr:y>
    </cdr:to>
    <cdr:sp macro="" textlink="">
      <cdr:nvSpPr>
        <cdr:cNvPr id="6" name="Text Box -10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5600" y="118202"/>
          <a:ext cx="381000" cy="152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0.14534</cdr:x>
      <cdr:y>0.01303</cdr:y>
    </cdr:from>
    <cdr:to>
      <cdr:x>0.20907</cdr:x>
      <cdr:y>0.08267</cdr:y>
    </cdr:to>
    <cdr:sp macro="" textlink="">
      <cdr:nvSpPr>
        <cdr:cNvPr id="7" name="Text Box -10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10" y="50800"/>
          <a:ext cx="330200" cy="2715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6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0.23529</cdr:x>
      <cdr:y>0.01303</cdr:y>
    </cdr:from>
    <cdr:to>
      <cdr:x>0.30392</cdr:x>
      <cdr:y>0.08267</cdr:y>
    </cdr:to>
    <cdr:sp macro="" textlink="">
      <cdr:nvSpPr>
        <cdr:cNvPr id="8" name="Text Box -10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19200" y="50800"/>
          <a:ext cx="355600" cy="2715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6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0.36936</cdr:x>
      <cdr:y>0.01303</cdr:y>
    </cdr:from>
    <cdr:to>
      <cdr:x>0.42475</cdr:x>
      <cdr:y>0.08267</cdr:y>
    </cdr:to>
    <cdr:sp macro="" textlink="">
      <cdr:nvSpPr>
        <cdr:cNvPr id="9" name="Text Box -10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13890" y="50800"/>
          <a:ext cx="287020" cy="2715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6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0.61446</cdr:x>
      <cdr:y>0.0196</cdr:y>
    </cdr:from>
    <cdr:to>
      <cdr:x>0.72549</cdr:x>
      <cdr:y>0.06075</cdr:y>
    </cdr:to>
    <cdr:sp macro="" textlink="">
      <cdr:nvSpPr>
        <cdr:cNvPr id="10" name="Text Box -10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3890" y="76432"/>
          <a:ext cx="575310" cy="1604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43</xdr:row>
      <xdr:rowOff>123093</xdr:rowOff>
    </xdr:from>
    <xdr:to>
      <xdr:col>6</xdr:col>
      <xdr:colOff>827484</xdr:colOff>
      <xdr:row>65</xdr:row>
      <xdr:rowOff>118697</xdr:rowOff>
    </xdr:to>
    <xdr:graphicFrame macro="">
      <xdr:nvGraphicFramePr>
        <xdr:cNvPr id="2" name="Chart -1023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0.13554</cdr:x>
      <cdr:y>0.04346</cdr:y>
    </cdr:from>
    <cdr:to>
      <cdr:x>0.16667</cdr:x>
      <cdr:y>0.08267</cdr:y>
    </cdr:to>
    <cdr:sp macro="" textlink="">
      <cdr:nvSpPr>
        <cdr:cNvPr id="2" name="Text Box -10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2310" y="169466"/>
          <a:ext cx="161290" cy="152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6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0.19779</cdr:x>
      <cdr:y>0.04346</cdr:y>
    </cdr:from>
    <cdr:to>
      <cdr:x>0.23701</cdr:x>
      <cdr:y>0.08267</cdr:y>
    </cdr:to>
    <cdr:sp macro="" textlink="">
      <cdr:nvSpPr>
        <cdr:cNvPr id="3" name="Text Box -10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24890" y="169466"/>
          <a:ext cx="203200" cy="152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6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0.31544</cdr:x>
      <cdr:y>0.04346</cdr:y>
    </cdr:from>
    <cdr:to>
      <cdr:x>0.35466</cdr:x>
      <cdr:y>0.08267</cdr:y>
    </cdr:to>
    <cdr:sp macro="" textlink="">
      <cdr:nvSpPr>
        <cdr:cNvPr id="4" name="Text Box -10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34490" y="169466"/>
          <a:ext cx="203200" cy="152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6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0.44436</cdr:x>
      <cdr:y>0.04346</cdr:y>
    </cdr:from>
    <cdr:to>
      <cdr:x>0.49191</cdr:x>
      <cdr:y>0.08267</cdr:y>
    </cdr:to>
    <cdr:sp macro="" textlink="">
      <cdr:nvSpPr>
        <cdr:cNvPr id="5" name="Text Box -10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02510" y="169466"/>
          <a:ext cx="246380" cy="152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6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0.06863</cdr:x>
      <cdr:y>0.03032</cdr:y>
    </cdr:from>
    <cdr:to>
      <cdr:x>0.14216</cdr:x>
      <cdr:y>0.06952</cdr:y>
    </cdr:to>
    <cdr:sp macro="" textlink="">
      <cdr:nvSpPr>
        <cdr:cNvPr id="6" name="Text Box -10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5600" y="118202"/>
          <a:ext cx="381000" cy="152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0.14534</cdr:x>
      <cdr:y>0.01303</cdr:y>
    </cdr:from>
    <cdr:to>
      <cdr:x>0.20907</cdr:x>
      <cdr:y>0.08267</cdr:y>
    </cdr:to>
    <cdr:sp macro="" textlink="">
      <cdr:nvSpPr>
        <cdr:cNvPr id="7" name="Text Box -10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10" y="50800"/>
          <a:ext cx="330200" cy="2715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6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0.23529</cdr:x>
      <cdr:y>0.01303</cdr:y>
    </cdr:from>
    <cdr:to>
      <cdr:x>0.30392</cdr:x>
      <cdr:y>0.08267</cdr:y>
    </cdr:to>
    <cdr:sp macro="" textlink="">
      <cdr:nvSpPr>
        <cdr:cNvPr id="8" name="Text Box -10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19200" y="50800"/>
          <a:ext cx="355600" cy="2715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6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0.36936</cdr:x>
      <cdr:y>0.01303</cdr:y>
    </cdr:from>
    <cdr:to>
      <cdr:x>0.42475</cdr:x>
      <cdr:y>0.08267</cdr:y>
    </cdr:to>
    <cdr:sp macro="" textlink="">
      <cdr:nvSpPr>
        <cdr:cNvPr id="9" name="Text Box -10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13890" y="50800"/>
          <a:ext cx="287020" cy="2715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6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0.61446</cdr:x>
      <cdr:y>0.0196</cdr:y>
    </cdr:from>
    <cdr:to>
      <cdr:x>0.72549</cdr:x>
      <cdr:y>0.06075</cdr:y>
    </cdr:to>
    <cdr:sp macro="" textlink="">
      <cdr:nvSpPr>
        <cdr:cNvPr id="10" name="Text Box -10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3890" y="76432"/>
          <a:ext cx="575310" cy="1604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495300</xdr:colOff>
      <xdr:row>5</xdr:row>
      <xdr:rowOff>106680</xdr:rowOff>
    </xdr:from>
    <xdr:to>
      <xdr:col>17</xdr:col>
      <xdr:colOff>449580</xdr:colOff>
      <xdr:row>20</xdr:row>
      <xdr:rowOff>121920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495300</xdr:colOff>
      <xdr:row>25</xdr:row>
      <xdr:rowOff>106680</xdr:rowOff>
    </xdr:from>
    <xdr:to>
      <xdr:col>17</xdr:col>
      <xdr:colOff>449580</xdr:colOff>
      <xdr:row>40</xdr:row>
      <xdr:rowOff>121920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495300</xdr:colOff>
      <xdr:row>46</xdr:row>
      <xdr:rowOff>106680</xdr:rowOff>
    </xdr:from>
    <xdr:to>
      <xdr:col>17</xdr:col>
      <xdr:colOff>449580</xdr:colOff>
      <xdr:row>61</xdr:row>
      <xdr:rowOff>121920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495300</xdr:colOff>
      <xdr:row>67</xdr:row>
      <xdr:rowOff>106680</xdr:rowOff>
    </xdr:from>
    <xdr:to>
      <xdr:col>17</xdr:col>
      <xdr:colOff>449580</xdr:colOff>
      <xdr:row>82</xdr:row>
      <xdr:rowOff>121920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495300</xdr:colOff>
      <xdr:row>88</xdr:row>
      <xdr:rowOff>106680</xdr:rowOff>
    </xdr:from>
    <xdr:to>
      <xdr:col>17</xdr:col>
      <xdr:colOff>449580</xdr:colOff>
      <xdr:row>103</xdr:row>
      <xdr:rowOff>121920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495300</xdr:colOff>
      <xdr:row>117</xdr:row>
      <xdr:rowOff>106680</xdr:rowOff>
    </xdr:from>
    <xdr:to>
      <xdr:col>17</xdr:col>
      <xdr:colOff>449580</xdr:colOff>
      <xdr:row>132</xdr:row>
      <xdr:rowOff>121920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495300</xdr:colOff>
      <xdr:row>138</xdr:row>
      <xdr:rowOff>106680</xdr:rowOff>
    </xdr:from>
    <xdr:to>
      <xdr:col>17</xdr:col>
      <xdr:colOff>449580</xdr:colOff>
      <xdr:row>153</xdr:row>
      <xdr:rowOff>121920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495300</xdr:colOff>
      <xdr:row>160</xdr:row>
      <xdr:rowOff>106680</xdr:rowOff>
    </xdr:from>
    <xdr:to>
      <xdr:col>17</xdr:col>
      <xdr:colOff>449580</xdr:colOff>
      <xdr:row>175</xdr:row>
      <xdr:rowOff>121920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43</xdr:row>
      <xdr:rowOff>152401</xdr:rowOff>
    </xdr:from>
    <xdr:to>
      <xdr:col>6</xdr:col>
      <xdr:colOff>827484</xdr:colOff>
      <xdr:row>65</xdr:row>
      <xdr:rowOff>148005</xdr:rowOff>
    </xdr:to>
    <xdr:graphicFrame macro="">
      <xdr:nvGraphicFramePr>
        <xdr:cNvPr id="2" name="Chart -1023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0.13554</cdr:x>
      <cdr:y>0.04346</cdr:y>
    </cdr:from>
    <cdr:to>
      <cdr:x>0.16667</cdr:x>
      <cdr:y>0.08267</cdr:y>
    </cdr:to>
    <cdr:sp macro="" textlink="">
      <cdr:nvSpPr>
        <cdr:cNvPr id="2" name="Text Box -10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2310" y="169466"/>
          <a:ext cx="161290" cy="152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6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0.19779</cdr:x>
      <cdr:y>0.04346</cdr:y>
    </cdr:from>
    <cdr:to>
      <cdr:x>0.23701</cdr:x>
      <cdr:y>0.08267</cdr:y>
    </cdr:to>
    <cdr:sp macro="" textlink="">
      <cdr:nvSpPr>
        <cdr:cNvPr id="3" name="Text Box -10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24890" y="169466"/>
          <a:ext cx="203200" cy="152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6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0.31544</cdr:x>
      <cdr:y>0.04346</cdr:y>
    </cdr:from>
    <cdr:to>
      <cdr:x>0.35466</cdr:x>
      <cdr:y>0.08267</cdr:y>
    </cdr:to>
    <cdr:sp macro="" textlink="">
      <cdr:nvSpPr>
        <cdr:cNvPr id="4" name="Text Box -10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34490" y="169466"/>
          <a:ext cx="203200" cy="152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6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0.44436</cdr:x>
      <cdr:y>0.04346</cdr:y>
    </cdr:from>
    <cdr:to>
      <cdr:x>0.49191</cdr:x>
      <cdr:y>0.08267</cdr:y>
    </cdr:to>
    <cdr:sp macro="" textlink="">
      <cdr:nvSpPr>
        <cdr:cNvPr id="5" name="Text Box -10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02510" y="169466"/>
          <a:ext cx="246380" cy="152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6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0.06863</cdr:x>
      <cdr:y>0.03032</cdr:y>
    </cdr:from>
    <cdr:to>
      <cdr:x>0.14216</cdr:x>
      <cdr:y>0.06952</cdr:y>
    </cdr:to>
    <cdr:sp macro="" textlink="">
      <cdr:nvSpPr>
        <cdr:cNvPr id="6" name="Text Box -10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5600" y="118202"/>
          <a:ext cx="381000" cy="152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0.14534</cdr:x>
      <cdr:y>0.01303</cdr:y>
    </cdr:from>
    <cdr:to>
      <cdr:x>0.20907</cdr:x>
      <cdr:y>0.08267</cdr:y>
    </cdr:to>
    <cdr:sp macro="" textlink="">
      <cdr:nvSpPr>
        <cdr:cNvPr id="7" name="Text Box -10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10" y="50800"/>
          <a:ext cx="330200" cy="2715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6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0.23529</cdr:x>
      <cdr:y>0.01303</cdr:y>
    </cdr:from>
    <cdr:to>
      <cdr:x>0.30392</cdr:x>
      <cdr:y>0.08267</cdr:y>
    </cdr:to>
    <cdr:sp macro="" textlink="">
      <cdr:nvSpPr>
        <cdr:cNvPr id="8" name="Text Box -10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19200" y="50800"/>
          <a:ext cx="355600" cy="2715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6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0.36936</cdr:x>
      <cdr:y>0.01303</cdr:y>
    </cdr:from>
    <cdr:to>
      <cdr:x>0.42475</cdr:x>
      <cdr:y>0.08267</cdr:y>
    </cdr:to>
    <cdr:sp macro="" textlink="">
      <cdr:nvSpPr>
        <cdr:cNvPr id="9" name="Text Box -10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13890" y="50800"/>
          <a:ext cx="287020" cy="2715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6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0.61446</cdr:x>
      <cdr:y>0.0196</cdr:y>
    </cdr:from>
    <cdr:to>
      <cdr:x>0.72549</cdr:x>
      <cdr:y>0.06075</cdr:y>
    </cdr:to>
    <cdr:sp macro="" textlink="">
      <cdr:nvSpPr>
        <cdr:cNvPr id="10" name="Text Box -10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3890" y="76432"/>
          <a:ext cx="575310" cy="1604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43</xdr:row>
      <xdr:rowOff>123093</xdr:rowOff>
    </xdr:from>
    <xdr:to>
      <xdr:col>6</xdr:col>
      <xdr:colOff>827484</xdr:colOff>
      <xdr:row>65</xdr:row>
      <xdr:rowOff>118697</xdr:rowOff>
    </xdr:to>
    <xdr:graphicFrame macro="">
      <xdr:nvGraphicFramePr>
        <xdr:cNvPr id="2" name="Chart -1023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0.13554</cdr:x>
      <cdr:y>0.04346</cdr:y>
    </cdr:from>
    <cdr:to>
      <cdr:x>0.16667</cdr:x>
      <cdr:y>0.08267</cdr:y>
    </cdr:to>
    <cdr:sp macro="" textlink="">
      <cdr:nvSpPr>
        <cdr:cNvPr id="2" name="Text Box -10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2310" y="169466"/>
          <a:ext cx="161290" cy="152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6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0.19779</cdr:x>
      <cdr:y>0.04346</cdr:y>
    </cdr:from>
    <cdr:to>
      <cdr:x>0.23701</cdr:x>
      <cdr:y>0.08267</cdr:y>
    </cdr:to>
    <cdr:sp macro="" textlink="">
      <cdr:nvSpPr>
        <cdr:cNvPr id="3" name="Text Box -10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24890" y="169466"/>
          <a:ext cx="203200" cy="152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6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0.31544</cdr:x>
      <cdr:y>0.04346</cdr:y>
    </cdr:from>
    <cdr:to>
      <cdr:x>0.35466</cdr:x>
      <cdr:y>0.08267</cdr:y>
    </cdr:to>
    <cdr:sp macro="" textlink="">
      <cdr:nvSpPr>
        <cdr:cNvPr id="4" name="Text Box -10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34490" y="169466"/>
          <a:ext cx="203200" cy="152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6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0.44436</cdr:x>
      <cdr:y>0.04346</cdr:y>
    </cdr:from>
    <cdr:to>
      <cdr:x>0.49191</cdr:x>
      <cdr:y>0.08267</cdr:y>
    </cdr:to>
    <cdr:sp macro="" textlink="">
      <cdr:nvSpPr>
        <cdr:cNvPr id="5" name="Text Box -10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02510" y="169466"/>
          <a:ext cx="246380" cy="152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6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0.06863</cdr:x>
      <cdr:y>0.03032</cdr:y>
    </cdr:from>
    <cdr:to>
      <cdr:x>0.14216</cdr:x>
      <cdr:y>0.06952</cdr:y>
    </cdr:to>
    <cdr:sp macro="" textlink="">
      <cdr:nvSpPr>
        <cdr:cNvPr id="6" name="Text Box -10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5600" y="118202"/>
          <a:ext cx="381000" cy="152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0.14534</cdr:x>
      <cdr:y>0.01303</cdr:y>
    </cdr:from>
    <cdr:to>
      <cdr:x>0.20907</cdr:x>
      <cdr:y>0.08267</cdr:y>
    </cdr:to>
    <cdr:sp macro="" textlink="">
      <cdr:nvSpPr>
        <cdr:cNvPr id="7" name="Text Box -10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10" y="50800"/>
          <a:ext cx="330200" cy="2715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6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0.23529</cdr:x>
      <cdr:y>0.01303</cdr:y>
    </cdr:from>
    <cdr:to>
      <cdr:x>0.30392</cdr:x>
      <cdr:y>0.08267</cdr:y>
    </cdr:to>
    <cdr:sp macro="" textlink="">
      <cdr:nvSpPr>
        <cdr:cNvPr id="8" name="Text Box -10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19200" y="50800"/>
          <a:ext cx="355600" cy="2715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6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0.36936</cdr:x>
      <cdr:y>0.01303</cdr:y>
    </cdr:from>
    <cdr:to>
      <cdr:x>0.42475</cdr:x>
      <cdr:y>0.08267</cdr:y>
    </cdr:to>
    <cdr:sp macro="" textlink="">
      <cdr:nvSpPr>
        <cdr:cNvPr id="9" name="Text Box -10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13890" y="50800"/>
          <a:ext cx="287020" cy="2715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6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0.61446</cdr:x>
      <cdr:y>0.0196</cdr:y>
    </cdr:from>
    <cdr:to>
      <cdr:x>0.72549</cdr:x>
      <cdr:y>0.06075</cdr:y>
    </cdr:to>
    <cdr:sp macro="" textlink="">
      <cdr:nvSpPr>
        <cdr:cNvPr id="10" name="Text Box -10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3890" y="76432"/>
          <a:ext cx="575310" cy="1604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43</xdr:row>
      <xdr:rowOff>123093</xdr:rowOff>
    </xdr:from>
    <xdr:to>
      <xdr:col>6</xdr:col>
      <xdr:colOff>827484</xdr:colOff>
      <xdr:row>65</xdr:row>
      <xdr:rowOff>118697</xdr:rowOff>
    </xdr:to>
    <xdr:graphicFrame macro="">
      <xdr:nvGraphicFramePr>
        <xdr:cNvPr id="2" name="Chart -1023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0.13554</cdr:x>
      <cdr:y>0.04346</cdr:y>
    </cdr:from>
    <cdr:to>
      <cdr:x>0.16667</cdr:x>
      <cdr:y>0.08267</cdr:y>
    </cdr:to>
    <cdr:sp macro="" textlink="">
      <cdr:nvSpPr>
        <cdr:cNvPr id="2" name="Text Box -10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2310" y="169466"/>
          <a:ext cx="161290" cy="152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6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0.19779</cdr:x>
      <cdr:y>0.04346</cdr:y>
    </cdr:from>
    <cdr:to>
      <cdr:x>0.23701</cdr:x>
      <cdr:y>0.08267</cdr:y>
    </cdr:to>
    <cdr:sp macro="" textlink="">
      <cdr:nvSpPr>
        <cdr:cNvPr id="3" name="Text Box -10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24890" y="169466"/>
          <a:ext cx="203200" cy="152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6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0.31544</cdr:x>
      <cdr:y>0.04346</cdr:y>
    </cdr:from>
    <cdr:to>
      <cdr:x>0.35466</cdr:x>
      <cdr:y>0.08267</cdr:y>
    </cdr:to>
    <cdr:sp macro="" textlink="">
      <cdr:nvSpPr>
        <cdr:cNvPr id="4" name="Text Box -10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34490" y="169466"/>
          <a:ext cx="203200" cy="152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6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0.44436</cdr:x>
      <cdr:y>0.04346</cdr:y>
    </cdr:from>
    <cdr:to>
      <cdr:x>0.49191</cdr:x>
      <cdr:y>0.08267</cdr:y>
    </cdr:to>
    <cdr:sp macro="" textlink="">
      <cdr:nvSpPr>
        <cdr:cNvPr id="5" name="Text Box -10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02510" y="169466"/>
          <a:ext cx="246380" cy="152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6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0.06863</cdr:x>
      <cdr:y>0.03032</cdr:y>
    </cdr:from>
    <cdr:to>
      <cdr:x>0.14216</cdr:x>
      <cdr:y>0.06952</cdr:y>
    </cdr:to>
    <cdr:sp macro="" textlink="">
      <cdr:nvSpPr>
        <cdr:cNvPr id="6" name="Text Box -10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5600" y="118202"/>
          <a:ext cx="381000" cy="152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0.14534</cdr:x>
      <cdr:y>0.01303</cdr:y>
    </cdr:from>
    <cdr:to>
      <cdr:x>0.20907</cdr:x>
      <cdr:y>0.08267</cdr:y>
    </cdr:to>
    <cdr:sp macro="" textlink="">
      <cdr:nvSpPr>
        <cdr:cNvPr id="7" name="Text Box -10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10" y="50800"/>
          <a:ext cx="330200" cy="2715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6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0.23529</cdr:x>
      <cdr:y>0.01303</cdr:y>
    </cdr:from>
    <cdr:to>
      <cdr:x>0.30392</cdr:x>
      <cdr:y>0.08267</cdr:y>
    </cdr:to>
    <cdr:sp macro="" textlink="">
      <cdr:nvSpPr>
        <cdr:cNvPr id="8" name="Text Box -10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19200" y="50800"/>
          <a:ext cx="355600" cy="2715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6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0.36936</cdr:x>
      <cdr:y>0.01303</cdr:y>
    </cdr:from>
    <cdr:to>
      <cdr:x>0.42475</cdr:x>
      <cdr:y>0.08267</cdr:y>
    </cdr:to>
    <cdr:sp macro="" textlink="">
      <cdr:nvSpPr>
        <cdr:cNvPr id="9" name="Text Box -10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13890" y="50800"/>
          <a:ext cx="287020" cy="2715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6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0.61446</cdr:x>
      <cdr:y>0.0196</cdr:y>
    </cdr:from>
    <cdr:to>
      <cdr:x>0.72549</cdr:x>
      <cdr:y>0.06075</cdr:y>
    </cdr:to>
    <cdr:sp macro="" textlink="">
      <cdr:nvSpPr>
        <cdr:cNvPr id="10" name="Text Box -10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3890" y="76432"/>
          <a:ext cx="575310" cy="1604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43</xdr:row>
      <xdr:rowOff>123093</xdr:rowOff>
    </xdr:from>
    <xdr:to>
      <xdr:col>6</xdr:col>
      <xdr:colOff>827484</xdr:colOff>
      <xdr:row>65</xdr:row>
      <xdr:rowOff>118697</xdr:rowOff>
    </xdr:to>
    <xdr:graphicFrame macro="">
      <xdr:nvGraphicFramePr>
        <xdr:cNvPr id="2" name="Chart -1023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9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0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27"/>
  <sheetViews>
    <sheetView zoomScaleNormal="100" workbookViewId="0">
      <selection activeCell="L19" sqref="L19"/>
    </sheetView>
  </sheetViews>
  <sheetFormatPr defaultRowHeight="14.4" x14ac:dyDescent="0.3"/>
  <cols>
    <col min="2" max="2" width="9" bestFit="1" customWidth="1"/>
    <col min="3" max="3" width="14.5546875" customWidth="1"/>
    <col min="4" max="4" width="18.6640625" customWidth="1"/>
    <col min="5" max="5" width="20.5546875" customWidth="1"/>
    <col min="6" max="6" width="20.44140625" customWidth="1"/>
    <col min="7" max="7" width="19.5546875" customWidth="1"/>
    <col min="8" max="8" width="14.44140625" customWidth="1"/>
    <col min="9" max="9" width="14.5546875" customWidth="1"/>
    <col min="10" max="10" width="16.33203125" customWidth="1"/>
    <col min="11" max="11" width="10.6640625" bestFit="1" customWidth="1"/>
    <col min="12" max="12" width="12.5546875" customWidth="1"/>
    <col min="13" max="13" width="13.77734375" customWidth="1"/>
    <col min="14" max="14" width="17" customWidth="1"/>
    <col min="15" max="15" width="10.5546875" bestFit="1" customWidth="1"/>
  </cols>
  <sheetData>
    <row r="2" spans="1:15" x14ac:dyDescent="0.3">
      <c r="A2" s="153" t="s">
        <v>319</v>
      </c>
      <c r="C2" s="152"/>
    </row>
    <row r="4" spans="1:15" ht="43.2" x14ac:dyDescent="0.3">
      <c r="A4" s="160" t="s">
        <v>307</v>
      </c>
      <c r="B4" s="161"/>
      <c r="C4" s="157" t="s">
        <v>321</v>
      </c>
      <c r="D4" s="157" t="s">
        <v>322</v>
      </c>
      <c r="E4" s="157" t="s">
        <v>301</v>
      </c>
      <c r="F4" s="157" t="s">
        <v>302</v>
      </c>
      <c r="G4" s="157" t="s">
        <v>305</v>
      </c>
      <c r="H4" s="157" t="s">
        <v>306</v>
      </c>
      <c r="I4" s="157" t="s">
        <v>176</v>
      </c>
      <c r="J4" s="157" t="s">
        <v>166</v>
      </c>
      <c r="K4" s="157" t="s">
        <v>177</v>
      </c>
      <c r="L4" s="157" t="s">
        <v>303</v>
      </c>
      <c r="M4" s="157" t="s">
        <v>304</v>
      </c>
      <c r="N4" s="157" t="s">
        <v>308</v>
      </c>
      <c r="O4" s="157" t="s">
        <v>309</v>
      </c>
    </row>
    <row r="5" spans="1:15" x14ac:dyDescent="0.3">
      <c r="A5" s="156" t="s">
        <v>311</v>
      </c>
      <c r="B5" s="156">
        <v>1</v>
      </c>
      <c r="C5" s="156">
        <f>'Gravemetric Moisture Content'!G70</f>
        <v>116.98157652469629</v>
      </c>
      <c r="D5" s="156">
        <f>'Gravemetric Moisture Cont. (2)'!G70</f>
        <v>43.078161023227885</v>
      </c>
      <c r="E5" s="156">
        <f>('Specific Gravity Tests'!B202+'Specific Gravity Tests'!B221)/2</f>
        <v>2.6716180686552837</v>
      </c>
      <c r="F5" s="156">
        <f>('Organic Content'!B112+'Organic Content'!C112)/2</f>
        <v>9.0913145676439875</v>
      </c>
      <c r="G5" s="156">
        <f>'Bulk Density'!B100</f>
        <v>1387.9999999999995</v>
      </c>
      <c r="H5" s="156">
        <f>'Dry Density'!B135</f>
        <v>604.55657492354669</v>
      </c>
      <c r="I5" s="156">
        <f>'Atterberg Limits'!B134</f>
        <v>99</v>
      </c>
      <c r="J5" s="156">
        <f>'Atterberg Limits'!B135</f>
        <v>33</v>
      </c>
      <c r="K5" s="156">
        <f>'Atterberg Limits'!B136</f>
        <v>66</v>
      </c>
      <c r="L5" s="156">
        <v>2.6</v>
      </c>
      <c r="M5" s="156">
        <f>('Sieve Analysis'!B83+'Sieve Analysis'!C83)/2</f>
        <v>99.409500000000008</v>
      </c>
      <c r="N5" s="156">
        <f>'Clay or Silt Content'!G77</f>
        <v>46.100926546121265</v>
      </c>
      <c r="O5" s="156">
        <f>'Dry Density'!C135</f>
        <v>571.31870967741906</v>
      </c>
    </row>
    <row r="6" spans="1:15" x14ac:dyDescent="0.3">
      <c r="A6" s="156" t="s">
        <v>312</v>
      </c>
      <c r="B6" s="156">
        <v>2</v>
      </c>
      <c r="C6" s="156">
        <f>'Gravemetric Moisture Content'!G82</f>
        <v>116.71297348976158</v>
      </c>
      <c r="D6" s="156">
        <f>'Gravemetric Moisture Cont. (2)'!G82</f>
        <v>44.750773715827123</v>
      </c>
      <c r="E6" s="156">
        <f>('Specific Gravity Tests'!B238+'Specific Gravity Tests'!B257)/2</f>
        <v>2.6488385046921001</v>
      </c>
      <c r="F6" s="156">
        <f>('Organic Content'!B133+'Organic Content'!C133)/2</f>
        <v>18.103529880927447</v>
      </c>
      <c r="G6" s="156">
        <f>'Bulk Density'!C116</f>
        <v>1656</v>
      </c>
      <c r="H6" s="156">
        <f>'Dry Density'!B157</f>
        <v>1038.9296636085626</v>
      </c>
      <c r="I6" s="156">
        <f>'Atterberg Limits'!B155</f>
        <v>87</v>
      </c>
      <c r="J6" s="156">
        <f>'Atterberg Limits'!B156</f>
        <v>33</v>
      </c>
      <c r="K6" s="156">
        <f>'Atterberg Limits'!B157</f>
        <v>54</v>
      </c>
      <c r="L6" s="156">
        <v>5.7</v>
      </c>
      <c r="M6" s="156">
        <f>('Sieve Analysis'!B96+'Sieve Analysis'!C96)/2</f>
        <v>98.923000000000002</v>
      </c>
      <c r="N6" s="156">
        <f>'Clay or Silt Content'!G89</f>
        <v>46.171615383708371</v>
      </c>
      <c r="O6" s="156">
        <f>'Dry Density'!C157</f>
        <v>1080</v>
      </c>
    </row>
    <row r="7" spans="1:15" x14ac:dyDescent="0.3">
      <c r="A7" s="156" t="s">
        <v>313</v>
      </c>
      <c r="B7" s="156">
        <v>3</v>
      </c>
      <c r="C7" s="156">
        <f>'Gravemetric Moisture Content'!G94</f>
        <v>95.340872521668132</v>
      </c>
      <c r="D7" s="156">
        <f>'Gravemetric Moisture Cont. (2)'!G94</f>
        <v>43.553420412025638</v>
      </c>
      <c r="E7" s="156">
        <f>('Specific Gravity Tests'!B274+'Specific Gravity Tests'!B293)/2</f>
        <v>2.6471206852928288</v>
      </c>
      <c r="F7" s="156">
        <f>('Organic Content'!B154+'Organic Content'!C154)/2</f>
        <v>6.4725735267224564</v>
      </c>
      <c r="G7" s="156">
        <f>'Bulk Density'!B132</f>
        <v>1460</v>
      </c>
      <c r="H7" s="156">
        <f>'Dry Density'!B179</f>
        <v>721.25382262996936</v>
      </c>
      <c r="I7" s="156">
        <f>'Atterberg Limits'!B177</f>
        <v>79</v>
      </c>
      <c r="J7" s="156">
        <f>'Atterberg Limits'!B178</f>
        <v>32</v>
      </c>
      <c r="K7" s="156">
        <f>'Atterberg Limits'!B179</f>
        <v>47</v>
      </c>
      <c r="L7" s="156">
        <v>4.2</v>
      </c>
      <c r="M7" s="156">
        <f>('Sieve Analysis'!B109+'Sieve Analysis'!C109)/2</f>
        <v>99.307500000000005</v>
      </c>
      <c r="N7" s="156">
        <f>'Clay or Silt Content'!G101</f>
        <v>51.290654589282624</v>
      </c>
      <c r="O7" s="156">
        <f>'Dry Density'!C179</f>
        <v>596.88734030197452</v>
      </c>
    </row>
    <row r="8" spans="1:15" x14ac:dyDescent="0.3">
      <c r="A8" s="156" t="s">
        <v>314</v>
      </c>
      <c r="B8" s="156">
        <v>4</v>
      </c>
      <c r="C8" s="156">
        <f>'Gravemetric Moisture Content'!G10</f>
        <v>103.49948568824536</v>
      </c>
      <c r="D8" s="156">
        <f>'Gravemetric Moisture Cont. (2)'!G10</f>
        <v>40.570528218284132</v>
      </c>
      <c r="E8" s="156">
        <f>('Specific Gravity Tests'!B16+'Specific Gravity Tests'!B35)/2</f>
        <v>2.6451544541477405</v>
      </c>
      <c r="F8" s="156">
        <f>('Organic Content'!B15+'Organic Content'!C15)/2</f>
        <v>6.2841354565790315</v>
      </c>
      <c r="G8" s="156">
        <f>'Bulk Density'!B20</f>
        <v>1612.0000000000005</v>
      </c>
      <c r="H8" s="156">
        <f>'Dry Density'!B25</f>
        <v>967.6146788990834</v>
      </c>
      <c r="I8" s="156">
        <f>'Atterberg Limits'!B22</f>
        <v>53</v>
      </c>
      <c r="J8" s="156">
        <f>'Atterberg Limits'!B23</f>
        <v>22</v>
      </c>
      <c r="K8" s="156">
        <f>'Atterberg Limits'!B24</f>
        <v>31</v>
      </c>
      <c r="L8" s="156">
        <v>8</v>
      </c>
      <c r="M8" s="156">
        <f>('Sieve Analysis'!B17+'Sieve Analysis'!C17)/2</f>
        <v>98.896500000000003</v>
      </c>
      <c r="N8" s="156">
        <f>'Clay or Silt Content'!G15</f>
        <v>49.15869437045427</v>
      </c>
      <c r="O8" s="156">
        <f>'Dry Density'!C25</f>
        <v>826.42857142857156</v>
      </c>
    </row>
    <row r="9" spans="1:15" x14ac:dyDescent="0.3">
      <c r="A9" s="156" t="s">
        <v>315</v>
      </c>
      <c r="B9" s="156">
        <v>5</v>
      </c>
      <c r="C9" s="156">
        <f>'Gravemetric Moisture Content'!G22</f>
        <v>79.010426634274097</v>
      </c>
      <c r="D9" s="156">
        <f>'Gravemetric Moisture Cont. (2)'!G22</f>
        <v>39.152761132031706</v>
      </c>
      <c r="E9" s="156">
        <f>('Specific Gravity Tests'!B54+'Specific Gravity Tests'!B73)/2</f>
        <v>2.6582895861837623</v>
      </c>
      <c r="F9" s="156">
        <f>('Organic Content'!B28+'Organic Content'!C28)/2</f>
        <v>3.8831757579949882</v>
      </c>
      <c r="G9" s="156">
        <f>'Bulk Density'!B36</f>
        <v>1662.0000000000005</v>
      </c>
      <c r="H9" s="156">
        <f>'Dry Density'!B47</f>
        <v>1048.6544342507652</v>
      </c>
      <c r="I9" s="156">
        <f>'Atterberg Limits'!B42</f>
        <v>45</v>
      </c>
      <c r="J9" s="156">
        <f>'Atterberg Limits'!B43</f>
        <v>24</v>
      </c>
      <c r="K9" s="156">
        <f>'Atterberg Limits'!B44</f>
        <v>21</v>
      </c>
      <c r="L9" s="156">
        <v>8.6999999999999993</v>
      </c>
      <c r="M9" s="156">
        <f>('Sieve Analysis'!B30+'Sieve Analysis'!C30)/2</f>
        <v>99.6965</v>
      </c>
      <c r="N9" s="156">
        <f>'Clay or Silt Content'!G27</f>
        <v>55.862667974832824</v>
      </c>
      <c r="O9" s="156">
        <f>'Dry Density'!C47</f>
        <v>839.95474137931024</v>
      </c>
    </row>
    <row r="10" spans="1:15" x14ac:dyDescent="0.3">
      <c r="A10" s="156" t="s">
        <v>316</v>
      </c>
      <c r="B10" s="156">
        <v>6</v>
      </c>
      <c r="C10" s="156">
        <f>'Gravemetric Moisture Content'!G33</f>
        <v>47.222381728518869</v>
      </c>
      <c r="D10" s="156">
        <f>'Gravemetric Moisture Cont. (2)'!G33</f>
        <v>27.222447854563299</v>
      </c>
      <c r="E10" s="156">
        <f>('Specific Gravity Tests'!B90+'Specific Gravity Tests'!B109)/2</f>
        <v>2.6587222818510963</v>
      </c>
      <c r="F10" s="156">
        <f>('Organic Content'!B49+'Organic Content'!C49)/2</f>
        <v>1.5117730922118624</v>
      </c>
      <c r="G10" s="156">
        <f>'Bulk Density'!B52</f>
        <v>1851.9999999999993</v>
      </c>
      <c r="H10" s="156">
        <f>'Dry Density'!B69</f>
        <v>1356.6055045871547</v>
      </c>
      <c r="I10" s="156">
        <f>'Atterberg Limits'!B63</f>
        <v>35</v>
      </c>
      <c r="J10" s="156">
        <f>'Atterberg Limits'!B64</f>
        <v>20</v>
      </c>
      <c r="K10" s="156">
        <f>'Atterberg Limits'!B65</f>
        <v>15</v>
      </c>
      <c r="L10" s="156">
        <v>3.7</v>
      </c>
      <c r="M10" s="156">
        <f>('Sieve Analysis'!B43+'Sieve Analysis'!C43)/2</f>
        <v>99.072000000000003</v>
      </c>
      <c r="N10" s="156">
        <f>'Clay or Silt Content'!G40</f>
        <v>67.925351747630174</v>
      </c>
      <c r="O10" s="156">
        <f>'Dry Density'!C69</f>
        <v>1204.7353535353534</v>
      </c>
    </row>
    <row r="11" spans="1:15" x14ac:dyDescent="0.3">
      <c r="A11" s="156" t="s">
        <v>317</v>
      </c>
      <c r="B11" s="156">
        <v>7</v>
      </c>
      <c r="C11" s="156">
        <f>'Gravemetric Moisture Content'!G45</f>
        <v>87.812998348520509</v>
      </c>
      <c r="D11" s="156">
        <f>'Gravemetric Moisture Cont. (2)'!G45</f>
        <v>40.530999153191523</v>
      </c>
      <c r="E11" s="156">
        <f>('Specific Gravity Tests'!B128+'Specific Gravity Tests'!B147)/2</f>
        <v>2.641571888375708</v>
      </c>
      <c r="F11" s="156">
        <f>('Organic Content'!B70+'Organic Content'!C70)/2</f>
        <v>3.4815242694092312</v>
      </c>
      <c r="G11" s="156">
        <f>'Bulk Density'!B68</f>
        <v>1532.0000000000005</v>
      </c>
      <c r="H11" s="156">
        <f>'Dry Density'!B91</f>
        <v>837.95107033639215</v>
      </c>
      <c r="I11" s="156">
        <f>'Atterberg Limits'!B84</f>
        <v>52</v>
      </c>
      <c r="J11" s="156">
        <f>'Atterberg Limits'!B85</f>
        <v>20</v>
      </c>
      <c r="K11" s="156">
        <f>'Atterberg Limits'!B86</f>
        <v>32</v>
      </c>
      <c r="L11" s="156">
        <v>7.5</v>
      </c>
      <c r="M11" s="156">
        <f>('Sieve Analysis'!B56+'Sieve Analysis'!C56)/2</f>
        <v>98.87299999999999</v>
      </c>
      <c r="N11" s="156">
        <f>'Clay or Silt Content'!G52</f>
        <v>53.244946991394187</v>
      </c>
      <c r="O11" s="156">
        <f>'Dry Density'!C91</f>
        <v>755.29351969504478</v>
      </c>
    </row>
    <row r="12" spans="1:15" x14ac:dyDescent="0.3">
      <c r="A12" s="156" t="s">
        <v>318</v>
      </c>
      <c r="B12" s="156">
        <v>8</v>
      </c>
      <c r="C12" s="156">
        <f>'Gravemetric Moisture Content'!G57</f>
        <v>60.536219783364544</v>
      </c>
      <c r="D12" s="156">
        <f>'Gravemetric Moisture Cont. (2)'!G57</f>
        <v>33.446593049192067</v>
      </c>
      <c r="E12" s="156">
        <f>('Specific Gravity Tests'!B164+'Specific Gravity Tests'!B183)/2</f>
        <v>2.6780756238363352</v>
      </c>
      <c r="F12" s="156">
        <f>('Organic Content'!B91+'Organic Content'!C91)/2</f>
        <v>2.9493632441593038</v>
      </c>
      <c r="G12" s="156">
        <f>'Bulk Density'!B84</f>
        <v>1792.0000000000005</v>
      </c>
      <c r="H12" s="156">
        <f>'Dry Density'!B113</f>
        <v>1259.3577981651383</v>
      </c>
      <c r="I12" s="156">
        <f>'Atterberg Limits'!B105</f>
        <v>38</v>
      </c>
      <c r="J12" s="156">
        <f>'Atterberg Limits'!B106</f>
        <v>16</v>
      </c>
      <c r="K12" s="156">
        <f>'Atterberg Limits'!B107</f>
        <v>22</v>
      </c>
      <c r="L12" s="156">
        <v>8.9</v>
      </c>
      <c r="M12" s="156">
        <f>('Sieve Analysis'!B69+'Sieve Analysis'!C69)/2</f>
        <v>99.603499999999997</v>
      </c>
      <c r="N12" s="156">
        <f>'Clay or Silt Content'!G64</f>
        <v>62.294766718073937</v>
      </c>
      <c r="O12" s="156">
        <f>'Dry Density'!C113</f>
        <v>1260.6407960199006</v>
      </c>
    </row>
    <row r="13" spans="1:15" x14ac:dyDescent="0.3">
      <c r="A13" s="160" t="s">
        <v>290</v>
      </c>
      <c r="B13" s="161"/>
      <c r="C13" s="155">
        <f>AVERAGE(C5:C12)</f>
        <v>88.389616839881185</v>
      </c>
      <c r="D13" s="155">
        <f>AVERAGE(D5:D12)</f>
        <v>39.038210569792923</v>
      </c>
      <c r="E13" s="155">
        <f t="shared" ref="E13:O13" si="0">AVERAGE(E5:E12)</f>
        <v>2.6561738866293569</v>
      </c>
      <c r="F13" s="155">
        <f t="shared" si="0"/>
        <v>6.472173724456038</v>
      </c>
      <c r="G13" s="155">
        <f t="shared" si="0"/>
        <v>1619.25</v>
      </c>
      <c r="H13" s="155">
        <f t="shared" si="0"/>
        <v>979.36544342507659</v>
      </c>
      <c r="I13" s="155">
        <f t="shared" si="0"/>
        <v>61</v>
      </c>
      <c r="J13" s="155">
        <f t="shared" si="0"/>
        <v>25</v>
      </c>
      <c r="K13" s="155">
        <f t="shared" si="0"/>
        <v>36</v>
      </c>
      <c r="L13" s="155">
        <f t="shared" si="0"/>
        <v>6.1624999999999996</v>
      </c>
      <c r="M13" s="155">
        <f t="shared" si="0"/>
        <v>99.222687500000006</v>
      </c>
      <c r="N13" s="155">
        <f t="shared" si="0"/>
        <v>54.006203040187209</v>
      </c>
      <c r="O13" s="155">
        <f t="shared" si="0"/>
        <v>891.90737900469674</v>
      </c>
    </row>
    <row r="14" spans="1:15" x14ac:dyDescent="0.3">
      <c r="D14" s="158"/>
    </row>
    <row r="15" spans="1:15" x14ac:dyDescent="0.3">
      <c r="C15" s="162" t="s">
        <v>320</v>
      </c>
      <c r="D15" s="162"/>
      <c r="E15" s="162"/>
      <c r="F15" s="162"/>
      <c r="G15" s="162"/>
      <c r="H15" s="162"/>
    </row>
    <row r="17" spans="2:9" x14ac:dyDescent="0.3">
      <c r="B17" s="159" t="s">
        <v>310</v>
      </c>
      <c r="C17" s="159"/>
      <c r="D17" s="159"/>
      <c r="E17" s="159"/>
      <c r="F17" s="159"/>
      <c r="G17" s="159"/>
      <c r="H17" s="159"/>
      <c r="I17" s="159"/>
    </row>
    <row r="18" spans="2:9" x14ac:dyDescent="0.3">
      <c r="B18" s="154">
        <v>1</v>
      </c>
      <c r="C18" s="154">
        <v>2</v>
      </c>
      <c r="D18" s="154">
        <v>3</v>
      </c>
      <c r="E18" s="154">
        <v>4</v>
      </c>
      <c r="F18" s="154">
        <v>5</v>
      </c>
      <c r="G18" s="154">
        <v>6</v>
      </c>
      <c r="H18" s="154">
        <v>7</v>
      </c>
      <c r="I18" s="154">
        <v>8</v>
      </c>
    </row>
    <row r="19" spans="2:9" x14ac:dyDescent="0.3">
      <c r="B19" s="1">
        <v>3.7564714480581025E-2</v>
      </c>
      <c r="C19" s="1">
        <v>4.2714935517782049E-2</v>
      </c>
      <c r="D19" s="1">
        <v>4.6069784462469399E-2</v>
      </c>
      <c r="E19" s="1">
        <v>4.1290117462694911E-2</v>
      </c>
      <c r="F19" s="1">
        <v>4.5295850376773354E-2</v>
      </c>
      <c r="G19" s="1">
        <v>3.7364835297420705E-2</v>
      </c>
      <c r="H19" s="1">
        <v>3.7154679768342573E-2</v>
      </c>
      <c r="I19" s="1">
        <v>3.6597471554206354E-2</v>
      </c>
    </row>
    <row r="20" spans="2:9" x14ac:dyDescent="0.3">
      <c r="B20" s="1">
        <v>1.18790057412545E-2</v>
      </c>
      <c r="C20" s="1">
        <v>1.3507648634341502E-2</v>
      </c>
      <c r="D20" s="1">
        <v>1.488611873832198E-2</v>
      </c>
      <c r="E20" s="1">
        <v>1.3177271086708518E-2</v>
      </c>
      <c r="F20" s="1">
        <v>1.4650279382604745E-2</v>
      </c>
      <c r="G20" s="1">
        <v>1.1815798393690444E-2</v>
      </c>
      <c r="H20" s="1">
        <v>1.1749341380213978E-2</v>
      </c>
      <c r="I20" s="1">
        <v>1.1573136671451448E-2</v>
      </c>
    </row>
    <row r="21" spans="2:9" x14ac:dyDescent="0.3">
      <c r="B21" s="1">
        <v>9.2002492919634801E-3</v>
      </c>
      <c r="C21" s="1">
        <v>9.7144378688188929E-3</v>
      </c>
      <c r="D21" s="1">
        <v>1.074594244682622E-2</v>
      </c>
      <c r="E21" s="1">
        <v>9.4854272402771656E-3</v>
      </c>
      <c r="F21" s="1">
        <v>1.0510396580456743E-2</v>
      </c>
      <c r="G21" s="1">
        <v>8.3550311693116278E-3</v>
      </c>
      <c r="H21" s="1">
        <v>8.308038964425014E-3</v>
      </c>
      <c r="I21" s="1">
        <v>8.4636519038918858E-3</v>
      </c>
    </row>
    <row r="22" spans="2:9" x14ac:dyDescent="0.3">
      <c r="B22" s="1">
        <v>6.6247837699566648E-3</v>
      </c>
      <c r="C22" s="1">
        <v>6.869144892457232E-3</v>
      </c>
      <c r="D22" s="1">
        <v>7.7004314193111559E-3</v>
      </c>
      <c r="E22" s="1">
        <v>6.9382820820132422E-3</v>
      </c>
      <c r="F22" s="1">
        <v>7.484817396590974E-3</v>
      </c>
      <c r="G22" s="1">
        <v>5.9078991968452219E-3</v>
      </c>
      <c r="H22" s="1">
        <v>5.9409485815273997E-3</v>
      </c>
      <c r="I22" s="1">
        <v>6.11323053351185E-3</v>
      </c>
    </row>
    <row r="23" spans="2:9" x14ac:dyDescent="0.3">
      <c r="B23" s="1">
        <v>3.359456047919554E-3</v>
      </c>
      <c r="C23" s="1">
        <v>3.6347091409764921E-3</v>
      </c>
      <c r="D23" s="1">
        <v>4.0284206517121361E-3</v>
      </c>
      <c r="E23" s="1">
        <v>3.6983906962849292E-3</v>
      </c>
      <c r="F23" s="1">
        <v>3.8922406496818213E-3</v>
      </c>
      <c r="G23" s="1">
        <v>3.1192849436780402E-3</v>
      </c>
      <c r="H23" s="1">
        <v>3.1683523811513689E-3</v>
      </c>
      <c r="I23" s="1">
        <v>3.2538763027898229E-3</v>
      </c>
    </row>
    <row r="24" spans="2:9" x14ac:dyDescent="0.3">
      <c r="B24" s="1">
        <v>2.5245838258358857E-3</v>
      </c>
      <c r="C24" s="1">
        <v>2.5904225870515135E-3</v>
      </c>
      <c r="D24" s="1">
        <v>2.8847796694615874E-3</v>
      </c>
      <c r="E24" s="1">
        <v>2.6351755123064941E-3</v>
      </c>
      <c r="F24" s="1">
        <v>2.7712581523550118E-3</v>
      </c>
      <c r="G24" s="1">
        <v>2.2763498447742523E-3</v>
      </c>
      <c r="H24" s="1">
        <v>2.3092150480269035E-3</v>
      </c>
      <c r="I24" s="1">
        <v>2.3454580791450125E-3</v>
      </c>
    </row>
    <row r="25" spans="2:9" x14ac:dyDescent="0.3">
      <c r="B25" s="1">
        <v>1.8284716008159594E-3</v>
      </c>
      <c r="C25" s="1">
        <v>1.8740985711508773E-3</v>
      </c>
      <c r="D25" s="1">
        <v>2.0525456602988341E-3</v>
      </c>
      <c r="E25" s="1">
        <v>1.8633504743686563E-3</v>
      </c>
      <c r="F25" s="1">
        <v>1.9862122200241818E-3</v>
      </c>
      <c r="G25" s="1">
        <v>1.6580964917156157E-3</v>
      </c>
      <c r="H25" s="1">
        <v>1.648770660550955E-3</v>
      </c>
      <c r="I25" s="1">
        <v>1.7047214959009657E-3</v>
      </c>
    </row>
    <row r="26" spans="2:9" x14ac:dyDescent="0.3">
      <c r="B26" s="1">
        <v>9.4234246152823098E-4</v>
      </c>
      <c r="C26" s="1">
        <v>9.6458712332077648E-4</v>
      </c>
      <c r="D26" s="1">
        <v>1.026272830149417E-3</v>
      </c>
      <c r="E26" s="1">
        <v>9.6628577088001325E-4</v>
      </c>
      <c r="F26" s="1">
        <v>8.6589707784563003E-4</v>
      </c>
      <c r="G26" s="1">
        <v>8.8301800675690098E-4</v>
      </c>
      <c r="H26" s="1">
        <v>8.8545266216031064E-4</v>
      </c>
      <c r="I26" s="1">
        <v>9.0400249733592732E-4</v>
      </c>
    </row>
    <row r="27" spans="2:9" x14ac:dyDescent="0.3">
      <c r="B27" s="1">
        <v>3.9858856917532933E-4</v>
      </c>
      <c r="C27" s="1">
        <v>4.0472115366736592E-4</v>
      </c>
      <c r="D27" s="1">
        <v>4.2411070299587961E-4</v>
      </c>
      <c r="E27" s="1">
        <v>4.0543387166165325E-4</v>
      </c>
      <c r="F27" s="1">
        <v>3.8606876005696988E-4</v>
      </c>
      <c r="G27" s="1">
        <v>3.7543766946007175E-4</v>
      </c>
      <c r="H27" s="1">
        <v>3.7332605030175874E-4</v>
      </c>
      <c r="I27" s="1">
        <v>3.8621341341852982E-4</v>
      </c>
    </row>
  </sheetData>
  <mergeCells count="4">
    <mergeCell ref="B17:I17"/>
    <mergeCell ref="A4:B4"/>
    <mergeCell ref="A13:B13"/>
    <mergeCell ref="C15:H15"/>
  </mergeCells>
  <pageMargins left="0.7" right="0.7" top="0.75" bottom="0.75" header="0.3" footer="0.3"/>
  <pageSetup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/>
  <dimension ref="A3:J187"/>
  <sheetViews>
    <sheetView tabSelected="1" topLeftCell="A52" zoomScaleNormal="100" workbookViewId="0">
      <selection activeCell="I63" sqref="I63"/>
    </sheetView>
  </sheetViews>
  <sheetFormatPr defaultRowHeight="14.4" x14ac:dyDescent="0.3"/>
  <cols>
    <col min="1" max="1" width="30.6640625" bestFit="1" customWidth="1"/>
    <col min="2" max="2" width="13.33203125" customWidth="1"/>
  </cols>
  <sheetData>
    <row r="3" spans="1:10" ht="60.6" customHeight="1" x14ac:dyDescent="0.3">
      <c r="A3" s="14" t="s">
        <v>0</v>
      </c>
      <c r="B3" s="168" t="s">
        <v>57</v>
      </c>
      <c r="C3" s="168"/>
      <c r="D3" s="168"/>
      <c r="E3" s="168"/>
      <c r="F3" s="168"/>
      <c r="G3" s="168"/>
    </row>
    <row r="4" spans="1:10" x14ac:dyDescent="0.3">
      <c r="A4" s="15" t="s">
        <v>7</v>
      </c>
      <c r="B4" s="169" t="s">
        <v>75</v>
      </c>
      <c r="C4" s="170"/>
      <c r="D4" s="170"/>
      <c r="E4" s="170"/>
      <c r="F4" s="170"/>
      <c r="G4" s="171"/>
    </row>
    <row r="5" spans="1:10" x14ac:dyDescent="0.3">
      <c r="B5" s="10"/>
      <c r="C5" s="10"/>
      <c r="D5" s="10"/>
      <c r="E5" s="10"/>
      <c r="F5" s="10"/>
      <c r="G5" s="10"/>
    </row>
    <row r="6" spans="1:10" x14ac:dyDescent="0.3">
      <c r="A6" s="11" t="s">
        <v>16</v>
      </c>
      <c r="B6" t="s">
        <v>58</v>
      </c>
      <c r="D6" s="10"/>
      <c r="E6" s="10"/>
      <c r="F6" s="10"/>
      <c r="G6" s="10"/>
    </row>
    <row r="7" spans="1:10" x14ac:dyDescent="0.3">
      <c r="A7" s="11" t="s">
        <v>35</v>
      </c>
      <c r="B7" s="46">
        <v>43842</v>
      </c>
      <c r="D7" s="10"/>
      <c r="E7" s="10"/>
      <c r="F7" s="10"/>
      <c r="G7" s="10"/>
    </row>
    <row r="8" spans="1:10" x14ac:dyDescent="0.3">
      <c r="A8" s="11" t="s">
        <v>163</v>
      </c>
      <c r="B8" t="s">
        <v>164</v>
      </c>
      <c r="D8" s="10"/>
      <c r="E8" s="10"/>
      <c r="F8" s="10"/>
      <c r="G8" s="10"/>
      <c r="J8" s="40"/>
    </row>
    <row r="9" spans="1:10" ht="15" thickBot="1" x14ac:dyDescent="0.35">
      <c r="D9" s="10"/>
      <c r="E9" s="10"/>
      <c r="F9" s="10"/>
      <c r="G9" s="10"/>
    </row>
    <row r="10" spans="1:10" ht="14.4" customHeight="1" thickBot="1" x14ac:dyDescent="0.35">
      <c r="A10" s="43"/>
      <c r="B10" s="175" t="s">
        <v>165</v>
      </c>
      <c r="C10" s="175"/>
      <c r="D10" s="176"/>
      <c r="E10" s="177"/>
      <c r="F10" s="180" t="s">
        <v>166</v>
      </c>
      <c r="G10" s="176"/>
    </row>
    <row r="11" spans="1:10" x14ac:dyDescent="0.3">
      <c r="A11" s="44" t="s">
        <v>4</v>
      </c>
      <c r="B11" s="42">
        <v>18</v>
      </c>
      <c r="C11" s="39" t="s">
        <v>167</v>
      </c>
      <c r="D11" s="39">
        <v>5</v>
      </c>
      <c r="E11" s="178"/>
      <c r="F11" s="39" t="s">
        <v>172</v>
      </c>
      <c r="G11" s="41" t="s">
        <v>173</v>
      </c>
    </row>
    <row r="12" spans="1:10" x14ac:dyDescent="0.3">
      <c r="A12" s="44" t="s">
        <v>10</v>
      </c>
      <c r="B12" s="47">
        <v>11.1</v>
      </c>
      <c r="C12" s="1">
        <v>11.1</v>
      </c>
      <c r="D12" s="1">
        <v>11</v>
      </c>
      <c r="E12" s="178"/>
      <c r="F12" s="22">
        <v>12.22</v>
      </c>
      <c r="G12" s="60">
        <v>15.7</v>
      </c>
    </row>
    <row r="13" spans="1:10" x14ac:dyDescent="0.3">
      <c r="A13" s="44" t="s">
        <v>168</v>
      </c>
      <c r="B13" s="47">
        <v>62.5</v>
      </c>
      <c r="C13" s="1">
        <v>67.5</v>
      </c>
      <c r="D13" s="1">
        <v>77.599999999999994</v>
      </c>
      <c r="E13" s="178"/>
      <c r="F13" s="22">
        <v>20.56</v>
      </c>
      <c r="G13" s="60">
        <v>22.26</v>
      </c>
    </row>
    <row r="14" spans="1:10" x14ac:dyDescent="0.3">
      <c r="A14" s="44" t="s">
        <v>12</v>
      </c>
      <c r="B14" s="47">
        <v>45.1</v>
      </c>
      <c r="C14" s="1">
        <v>47.9</v>
      </c>
      <c r="D14" s="1">
        <v>53.8</v>
      </c>
      <c r="E14" s="178"/>
      <c r="F14" s="22">
        <v>19</v>
      </c>
      <c r="G14" s="60">
        <v>21.1</v>
      </c>
    </row>
    <row r="15" spans="1:10" x14ac:dyDescent="0.3">
      <c r="A15" s="44" t="s">
        <v>13</v>
      </c>
      <c r="B15" s="47">
        <f>B13-B14</f>
        <v>17.399999999999999</v>
      </c>
      <c r="C15" s="47">
        <f t="shared" ref="C15:D15" si="0">C13-C14</f>
        <v>19.600000000000001</v>
      </c>
      <c r="D15" s="47">
        <f t="shared" si="0"/>
        <v>23.799999999999997</v>
      </c>
      <c r="E15" s="178"/>
      <c r="F15" s="22">
        <f t="shared" ref="F15:G15" si="1">F13-F14</f>
        <v>1.5599999999999987</v>
      </c>
      <c r="G15" s="60">
        <f t="shared" si="1"/>
        <v>1.1600000000000001</v>
      </c>
    </row>
    <row r="16" spans="1:10" x14ac:dyDescent="0.3">
      <c r="A16" s="44" t="s">
        <v>169</v>
      </c>
      <c r="B16" s="47">
        <f>B14-B12</f>
        <v>34</v>
      </c>
      <c r="C16" s="47">
        <f t="shared" ref="C16:D16" si="2">C14-C12</f>
        <v>36.799999999999997</v>
      </c>
      <c r="D16" s="47">
        <f t="shared" si="2"/>
        <v>42.8</v>
      </c>
      <c r="E16" s="178"/>
      <c r="F16" s="22">
        <f t="shared" ref="F16:G16" si="3">F14-F12</f>
        <v>6.7799999999999994</v>
      </c>
      <c r="G16" s="60">
        <f t="shared" si="3"/>
        <v>5.4000000000000021</v>
      </c>
    </row>
    <row r="17" spans="1:10" x14ac:dyDescent="0.3">
      <c r="A17" s="48" t="s">
        <v>170</v>
      </c>
      <c r="B17" s="49">
        <f>(B15/B16)*100</f>
        <v>51.17647058823529</v>
      </c>
      <c r="C17" s="49">
        <f t="shared" ref="C17:D17" si="4">(C15/C16)*100</f>
        <v>53.260869565217398</v>
      </c>
      <c r="D17" s="49">
        <f t="shared" si="4"/>
        <v>55.607476635514018</v>
      </c>
      <c r="E17" s="179"/>
      <c r="F17" s="1">
        <f t="shared" ref="F17" si="5">(F15/F16)*100</f>
        <v>23.008849557522108</v>
      </c>
      <c r="G17" s="61">
        <f t="shared" ref="G17" si="6">(G15/G16)*100</f>
        <v>21.481481481481477</v>
      </c>
    </row>
    <row r="18" spans="1:10" ht="15" thickBot="1" x14ac:dyDescent="0.35">
      <c r="A18" s="45" t="s">
        <v>171</v>
      </c>
      <c r="B18" s="50">
        <v>31</v>
      </c>
      <c r="C18" s="51">
        <v>24</v>
      </c>
      <c r="D18" s="51">
        <v>17</v>
      </c>
      <c r="E18" s="51" t="s">
        <v>174</v>
      </c>
      <c r="F18" s="173">
        <f>(F17+G17)/2</f>
        <v>22.245165519501793</v>
      </c>
      <c r="G18" s="174"/>
    </row>
    <row r="19" spans="1:10" ht="15" thickBot="1" x14ac:dyDescent="0.35">
      <c r="A19" s="57" t="s">
        <v>178</v>
      </c>
      <c r="B19" s="58">
        <f>(B17)*((B18/25)^(0.121))</f>
        <v>52.52600312126102</v>
      </c>
      <c r="C19" s="58">
        <f t="shared" ref="C19:D19" si="7">(C17)*((C18/25)^(0.121))</f>
        <v>52.998438227523216</v>
      </c>
      <c r="D19" s="59">
        <f t="shared" si="7"/>
        <v>53.072160367629913</v>
      </c>
      <c r="E19" s="55"/>
      <c r="F19" s="56"/>
      <c r="G19" s="56"/>
    </row>
    <row r="20" spans="1:10" x14ac:dyDescent="0.3">
      <c r="G20" s="12"/>
    </row>
    <row r="21" spans="1:10" ht="15" thickBot="1" x14ac:dyDescent="0.35">
      <c r="A21" s="52" t="s">
        <v>175</v>
      </c>
    </row>
    <row r="22" spans="1:10" ht="15" thickBot="1" x14ac:dyDescent="0.35">
      <c r="A22" s="53" t="s">
        <v>176</v>
      </c>
      <c r="B22" s="54">
        <f>ROUND(AVERAGE(B19:D19),0)</f>
        <v>53</v>
      </c>
    </row>
    <row r="23" spans="1:10" x14ac:dyDescent="0.3">
      <c r="A23" s="8" t="s">
        <v>166</v>
      </c>
      <c r="B23" s="54">
        <f>ROUND(F18,0)</f>
        <v>22</v>
      </c>
    </row>
    <row r="24" spans="1:10" ht="15" thickBot="1" x14ac:dyDescent="0.35">
      <c r="A24" s="9" t="s">
        <v>177</v>
      </c>
      <c r="B24" s="32">
        <f>B22-B23</f>
        <v>31</v>
      </c>
    </row>
    <row r="26" spans="1:10" x14ac:dyDescent="0.3">
      <c r="A26" s="11" t="s">
        <v>20</v>
      </c>
      <c r="B26" t="s">
        <v>67</v>
      </c>
      <c r="D26" s="10"/>
      <c r="E26" s="10"/>
      <c r="F26" s="10"/>
      <c r="G26" s="10"/>
    </row>
    <row r="27" spans="1:10" x14ac:dyDescent="0.3">
      <c r="A27" s="11" t="s">
        <v>35</v>
      </c>
      <c r="B27" s="46">
        <v>43838</v>
      </c>
      <c r="D27" s="10"/>
      <c r="E27" s="10"/>
      <c r="F27" s="10"/>
      <c r="G27" s="10"/>
    </row>
    <row r="28" spans="1:10" x14ac:dyDescent="0.3">
      <c r="A28" s="11" t="s">
        <v>163</v>
      </c>
      <c r="B28" t="s">
        <v>164</v>
      </c>
      <c r="D28" s="10"/>
      <c r="E28" s="10"/>
      <c r="F28" s="10"/>
      <c r="G28" s="10"/>
      <c r="J28" s="40"/>
    </row>
    <row r="29" spans="1:10" ht="15" thickBot="1" x14ac:dyDescent="0.35">
      <c r="D29" s="10"/>
      <c r="E29" s="10"/>
      <c r="F29" s="10"/>
      <c r="G29" s="10"/>
    </row>
    <row r="30" spans="1:10" ht="14.4" customHeight="1" thickBot="1" x14ac:dyDescent="0.35">
      <c r="A30" s="43"/>
      <c r="B30" s="175" t="s">
        <v>165</v>
      </c>
      <c r="C30" s="175"/>
      <c r="D30" s="176"/>
      <c r="E30" s="177"/>
      <c r="F30" s="180" t="s">
        <v>166</v>
      </c>
      <c r="G30" s="176"/>
    </row>
    <row r="31" spans="1:10" x14ac:dyDescent="0.3">
      <c r="A31" s="44" t="s">
        <v>4</v>
      </c>
      <c r="B31" s="42" t="s">
        <v>5</v>
      </c>
      <c r="C31" s="39" t="s">
        <v>179</v>
      </c>
      <c r="D31" s="39" t="s">
        <v>180</v>
      </c>
      <c r="E31" s="178"/>
      <c r="F31" s="39" t="s">
        <v>181</v>
      </c>
      <c r="G31" s="41">
        <v>7</v>
      </c>
    </row>
    <row r="32" spans="1:10" x14ac:dyDescent="0.3">
      <c r="A32" s="44" t="s">
        <v>10</v>
      </c>
      <c r="B32" s="47">
        <v>31.97</v>
      </c>
      <c r="C32" s="1">
        <v>16.36</v>
      </c>
      <c r="D32" s="1">
        <v>34.42</v>
      </c>
      <c r="E32" s="178"/>
      <c r="F32" s="22">
        <v>4.21</v>
      </c>
      <c r="G32" s="60">
        <v>4.1500000000000004</v>
      </c>
    </row>
    <row r="33" spans="1:7" x14ac:dyDescent="0.3">
      <c r="A33" s="44" t="s">
        <v>168</v>
      </c>
      <c r="B33" s="47">
        <v>77.400000000000006</v>
      </c>
      <c r="C33" s="1">
        <v>58.72</v>
      </c>
      <c r="D33" s="1">
        <v>96.07</v>
      </c>
      <c r="E33" s="178"/>
      <c r="F33" s="22">
        <v>9.33</v>
      </c>
      <c r="G33" s="60">
        <v>9.77</v>
      </c>
    </row>
    <row r="34" spans="1:7" x14ac:dyDescent="0.3">
      <c r="A34" s="44" t="s">
        <v>12</v>
      </c>
      <c r="B34" s="47">
        <v>63.59</v>
      </c>
      <c r="C34" s="1">
        <v>45.29</v>
      </c>
      <c r="D34" s="1">
        <v>76.150000000000006</v>
      </c>
      <c r="E34" s="178"/>
      <c r="F34" s="22">
        <v>8.3699999999999992</v>
      </c>
      <c r="G34" s="60">
        <v>8.67</v>
      </c>
    </row>
    <row r="35" spans="1:7" x14ac:dyDescent="0.3">
      <c r="A35" s="44" t="s">
        <v>13</v>
      </c>
      <c r="B35" s="47">
        <f>B33-B34</f>
        <v>13.810000000000002</v>
      </c>
      <c r="C35" s="47">
        <f t="shared" ref="C35" si="8">C33-C34</f>
        <v>13.43</v>
      </c>
      <c r="D35" s="47">
        <f t="shared" ref="D35" si="9">D33-D34</f>
        <v>19.919999999999987</v>
      </c>
      <c r="E35" s="178"/>
      <c r="F35" s="22">
        <f t="shared" ref="F35" si="10">F33-F34</f>
        <v>0.96000000000000085</v>
      </c>
      <c r="G35" s="60">
        <f t="shared" ref="G35" si="11">G33-G34</f>
        <v>1.0999999999999996</v>
      </c>
    </row>
    <row r="36" spans="1:7" x14ac:dyDescent="0.3">
      <c r="A36" s="44" t="s">
        <v>169</v>
      </c>
      <c r="B36" s="47">
        <f>B34-B32</f>
        <v>31.620000000000005</v>
      </c>
      <c r="C36" s="47">
        <f t="shared" ref="C36:D36" si="12">C34-C32</f>
        <v>28.93</v>
      </c>
      <c r="D36" s="47">
        <f t="shared" si="12"/>
        <v>41.730000000000004</v>
      </c>
      <c r="E36" s="178"/>
      <c r="F36" s="22">
        <f t="shared" ref="F36:G36" si="13">F34-F32</f>
        <v>4.1599999999999993</v>
      </c>
      <c r="G36" s="60">
        <f t="shared" si="13"/>
        <v>4.5199999999999996</v>
      </c>
    </row>
    <row r="37" spans="1:7" x14ac:dyDescent="0.3">
      <c r="A37" s="48" t="s">
        <v>170</v>
      </c>
      <c r="B37" s="49">
        <f>(B35/B36)*100</f>
        <v>43.674889310562939</v>
      </c>
      <c r="C37" s="49">
        <f t="shared" ref="C37" si="14">(C35/C36)*100</f>
        <v>46.422398893881784</v>
      </c>
      <c r="D37" s="49">
        <f t="shared" ref="D37" si="15">(D35/D36)*100</f>
        <v>47.735442127965463</v>
      </c>
      <c r="E37" s="179"/>
      <c r="F37" s="1">
        <f t="shared" ref="F37" si="16">(F35/F36)*100</f>
        <v>23.076923076923102</v>
      </c>
      <c r="G37" s="61">
        <f t="shared" ref="G37" si="17">(G35/G36)*100</f>
        <v>24.336283185840703</v>
      </c>
    </row>
    <row r="38" spans="1:7" ht="15" thickBot="1" x14ac:dyDescent="0.35">
      <c r="A38" s="45" t="s">
        <v>171</v>
      </c>
      <c r="B38" s="50">
        <v>30</v>
      </c>
      <c r="C38" s="51">
        <v>23</v>
      </c>
      <c r="D38" s="51">
        <v>18</v>
      </c>
      <c r="E38" s="51" t="s">
        <v>174</v>
      </c>
      <c r="F38" s="173">
        <f>(F37+G37)/2</f>
        <v>23.706603131381904</v>
      </c>
      <c r="G38" s="174"/>
    </row>
    <row r="39" spans="1:7" ht="15" thickBot="1" x14ac:dyDescent="0.35">
      <c r="A39" s="57" t="s">
        <v>178</v>
      </c>
      <c r="B39" s="58">
        <f>(B37)*((B38/25)^(0.121))</f>
        <v>44.649103556550685</v>
      </c>
      <c r="C39" s="58">
        <f t="shared" ref="C39" si="18">(C37)*((C38/25)^(0.121))</f>
        <v>45.956389977949414</v>
      </c>
      <c r="D39" s="59">
        <f t="shared" ref="D39" si="19">(D37)*((D38/25)^(0.121))</f>
        <v>45.87522226779123</v>
      </c>
      <c r="E39" s="55"/>
      <c r="F39" s="56"/>
      <c r="G39" s="56"/>
    </row>
    <row r="40" spans="1:7" x14ac:dyDescent="0.3">
      <c r="G40" s="12"/>
    </row>
    <row r="41" spans="1:7" ht="15" thickBot="1" x14ac:dyDescent="0.35">
      <c r="A41" s="52" t="s">
        <v>175</v>
      </c>
    </row>
    <row r="42" spans="1:7" ht="15" thickBot="1" x14ac:dyDescent="0.35">
      <c r="A42" s="53" t="s">
        <v>176</v>
      </c>
      <c r="B42" s="54">
        <f>ROUND(AVERAGE(B39:D39),0)</f>
        <v>45</v>
      </c>
    </row>
    <row r="43" spans="1:7" x14ac:dyDescent="0.3">
      <c r="A43" s="8" t="s">
        <v>166</v>
      </c>
      <c r="B43" s="54">
        <f>ROUND(F38,0)</f>
        <v>24</v>
      </c>
    </row>
    <row r="44" spans="1:7" ht="15" thickBot="1" x14ac:dyDescent="0.35">
      <c r="A44" s="9" t="s">
        <v>177</v>
      </c>
      <c r="B44" s="32">
        <f>B42-B43</f>
        <v>21</v>
      </c>
    </row>
    <row r="47" spans="1:7" x14ac:dyDescent="0.3">
      <c r="A47" s="11" t="s">
        <v>21</v>
      </c>
      <c r="B47" t="s">
        <v>17</v>
      </c>
      <c r="D47" s="10"/>
      <c r="E47" s="10"/>
      <c r="F47" s="10"/>
      <c r="G47" s="10"/>
    </row>
    <row r="48" spans="1:7" x14ac:dyDescent="0.3">
      <c r="A48" s="11" t="s">
        <v>35</v>
      </c>
      <c r="B48" s="46">
        <v>43838</v>
      </c>
      <c r="D48" s="10"/>
      <c r="E48" s="10"/>
      <c r="F48" s="10"/>
      <c r="G48" s="10"/>
    </row>
    <row r="49" spans="1:10" x14ac:dyDescent="0.3">
      <c r="A49" s="11" t="s">
        <v>163</v>
      </c>
      <c r="B49" t="s">
        <v>164</v>
      </c>
      <c r="D49" s="10"/>
      <c r="E49" s="10"/>
      <c r="F49" s="10"/>
      <c r="G49" s="10"/>
      <c r="J49" s="40"/>
    </row>
    <row r="50" spans="1:10" ht="15" thickBot="1" x14ac:dyDescent="0.35">
      <c r="D50" s="10"/>
      <c r="E50" s="10"/>
      <c r="F50" s="10"/>
      <c r="G50" s="10"/>
    </row>
    <row r="51" spans="1:10" ht="14.4" customHeight="1" thickBot="1" x14ac:dyDescent="0.35">
      <c r="A51" s="43"/>
      <c r="B51" s="175" t="s">
        <v>165</v>
      </c>
      <c r="C51" s="175"/>
      <c r="D51" s="176"/>
      <c r="E51" s="177"/>
      <c r="F51" s="180" t="s">
        <v>166</v>
      </c>
      <c r="G51" s="176"/>
    </row>
    <row r="52" spans="1:10" x14ac:dyDescent="0.3">
      <c r="A52" s="44" t="s">
        <v>4</v>
      </c>
      <c r="B52" s="42">
        <v>5</v>
      </c>
      <c r="C52" s="39" t="s">
        <v>167</v>
      </c>
      <c r="D52" s="39">
        <v>18</v>
      </c>
      <c r="E52" s="178"/>
      <c r="F52" s="39" t="s">
        <v>182</v>
      </c>
      <c r="G52" s="41" t="s">
        <v>183</v>
      </c>
    </row>
    <row r="53" spans="1:10" x14ac:dyDescent="0.3">
      <c r="A53" s="44" t="s">
        <v>10</v>
      </c>
      <c r="B53" s="47">
        <v>11</v>
      </c>
      <c r="C53" s="1">
        <v>11.07</v>
      </c>
      <c r="D53" s="1">
        <v>11.02</v>
      </c>
      <c r="E53" s="178"/>
      <c r="F53" s="22">
        <v>4.24</v>
      </c>
      <c r="G53" s="60">
        <v>4.1900000000000004</v>
      </c>
    </row>
    <row r="54" spans="1:10" x14ac:dyDescent="0.3">
      <c r="A54" s="44" t="s">
        <v>168</v>
      </c>
      <c r="B54" s="47">
        <v>38.49</v>
      </c>
      <c r="C54" s="1">
        <v>49.41</v>
      </c>
      <c r="D54" s="1">
        <v>54.71</v>
      </c>
      <c r="E54" s="178"/>
      <c r="F54" s="22">
        <v>7.56</v>
      </c>
      <c r="G54" s="60">
        <v>7.31</v>
      </c>
    </row>
    <row r="55" spans="1:10" x14ac:dyDescent="0.3">
      <c r="A55" s="44" t="s">
        <v>12</v>
      </c>
      <c r="B55" s="47">
        <v>31.54</v>
      </c>
      <c r="C55" s="1">
        <v>39.520000000000003</v>
      </c>
      <c r="D55" s="1">
        <v>42.92</v>
      </c>
      <c r="E55" s="178"/>
      <c r="F55" s="22">
        <v>7</v>
      </c>
      <c r="G55" s="60">
        <v>6.8</v>
      </c>
    </row>
    <row r="56" spans="1:10" x14ac:dyDescent="0.3">
      <c r="A56" s="44" t="s">
        <v>13</v>
      </c>
      <c r="B56" s="47">
        <f>B54-B55</f>
        <v>6.9500000000000028</v>
      </c>
      <c r="C56" s="47">
        <f t="shared" ref="C56" si="20">C54-C55</f>
        <v>9.8899999999999935</v>
      </c>
      <c r="D56" s="47">
        <f t="shared" ref="D56" si="21">D54-D55</f>
        <v>11.79</v>
      </c>
      <c r="E56" s="178"/>
      <c r="F56" s="22">
        <f t="shared" ref="F56" si="22">F54-F55</f>
        <v>0.55999999999999961</v>
      </c>
      <c r="G56" s="60">
        <f t="shared" ref="G56" si="23">G54-G55</f>
        <v>0.50999999999999979</v>
      </c>
    </row>
    <row r="57" spans="1:10" x14ac:dyDescent="0.3">
      <c r="A57" s="44" t="s">
        <v>169</v>
      </c>
      <c r="B57" s="47">
        <f>B55-B53</f>
        <v>20.54</v>
      </c>
      <c r="C57" s="47">
        <f t="shared" ref="C57:D57" si="24">C55-C53</f>
        <v>28.450000000000003</v>
      </c>
      <c r="D57" s="47">
        <f t="shared" si="24"/>
        <v>31.900000000000002</v>
      </c>
      <c r="E57" s="178"/>
      <c r="F57" s="22">
        <f t="shared" ref="F57:G57" si="25">F55-F53</f>
        <v>2.76</v>
      </c>
      <c r="G57" s="60">
        <f t="shared" si="25"/>
        <v>2.6099999999999994</v>
      </c>
    </row>
    <row r="58" spans="1:10" x14ac:dyDescent="0.3">
      <c r="A58" s="48" t="s">
        <v>170</v>
      </c>
      <c r="B58" s="49">
        <f>(B56/B57)*100</f>
        <v>33.836416747809167</v>
      </c>
      <c r="C58" s="49">
        <f t="shared" ref="C58" si="26">(C56/C57)*100</f>
        <v>34.762741652021063</v>
      </c>
      <c r="D58" s="49">
        <f t="shared" ref="D58" si="27">(D56/D57)*100</f>
        <v>36.959247648902817</v>
      </c>
      <c r="E58" s="179"/>
      <c r="F58" s="1">
        <f t="shared" ref="F58" si="28">(F56/F57)*100</f>
        <v>20.289855072463755</v>
      </c>
      <c r="G58" s="61">
        <f t="shared" ref="G58" si="29">(G56/G57)*100</f>
        <v>19.540229885057467</v>
      </c>
    </row>
    <row r="59" spans="1:10" ht="15" thickBot="1" x14ac:dyDescent="0.35">
      <c r="A59" s="45" t="s">
        <v>171</v>
      </c>
      <c r="B59" s="50">
        <v>31</v>
      </c>
      <c r="C59" s="51">
        <v>24</v>
      </c>
      <c r="D59" s="51">
        <v>17</v>
      </c>
      <c r="E59" s="51" t="s">
        <v>174</v>
      </c>
      <c r="F59" s="173">
        <f>(F58+G58)/2</f>
        <v>19.915042478760611</v>
      </c>
      <c r="G59" s="174"/>
    </row>
    <row r="60" spans="1:10" ht="15" thickBot="1" x14ac:dyDescent="0.35">
      <c r="A60" s="57" t="s">
        <v>178</v>
      </c>
      <c r="B60" s="58">
        <f>(B58)*((B59/25)^(0.121))</f>
        <v>34.728689010380599</v>
      </c>
      <c r="C60" s="58">
        <f t="shared" ref="C60" si="30">(C58)*((C59/25)^(0.121))</f>
        <v>34.591455811813624</v>
      </c>
      <c r="D60" s="59">
        <f t="shared" ref="D60" si="31">(D58)*((D59/25)^(0.121))</f>
        <v>35.274161623021605</v>
      </c>
      <c r="E60" s="55"/>
      <c r="F60" s="56"/>
      <c r="G60" s="56"/>
    </row>
    <row r="61" spans="1:10" x14ac:dyDescent="0.3">
      <c r="G61" s="12"/>
    </row>
    <row r="62" spans="1:10" ht="15" thickBot="1" x14ac:dyDescent="0.35">
      <c r="A62" s="52" t="s">
        <v>175</v>
      </c>
    </row>
    <row r="63" spans="1:10" ht="15" thickBot="1" x14ac:dyDescent="0.35">
      <c r="A63" s="53" t="s">
        <v>176</v>
      </c>
      <c r="B63" s="54">
        <f>ROUND(AVERAGE(B60:D60),0)</f>
        <v>35</v>
      </c>
    </row>
    <row r="64" spans="1:10" x14ac:dyDescent="0.3">
      <c r="A64" s="8" t="s">
        <v>166</v>
      </c>
      <c r="B64" s="54">
        <f>ROUND(F59,0)</f>
        <v>20</v>
      </c>
    </row>
    <row r="65" spans="1:10" ht="15" thickBot="1" x14ac:dyDescent="0.35">
      <c r="A65" s="9" t="s">
        <v>177</v>
      </c>
      <c r="B65" s="32">
        <f>B63-B64</f>
        <v>15</v>
      </c>
    </row>
    <row r="68" spans="1:10" x14ac:dyDescent="0.3">
      <c r="A68" s="11" t="s">
        <v>25</v>
      </c>
      <c r="B68" t="s">
        <v>2</v>
      </c>
      <c r="D68" s="10"/>
      <c r="E68" s="10"/>
      <c r="F68" s="10"/>
      <c r="G68" s="10"/>
    </row>
    <row r="69" spans="1:10" x14ac:dyDescent="0.3">
      <c r="A69" s="11" t="s">
        <v>35</v>
      </c>
      <c r="B69" s="46">
        <v>43838</v>
      </c>
      <c r="D69" s="10"/>
      <c r="E69" s="10"/>
      <c r="F69" s="10"/>
      <c r="G69" s="10"/>
    </row>
    <row r="70" spans="1:10" x14ac:dyDescent="0.3">
      <c r="A70" s="11" t="s">
        <v>163</v>
      </c>
      <c r="B70" t="s">
        <v>164</v>
      </c>
      <c r="D70" s="10"/>
      <c r="E70" s="10"/>
      <c r="F70" s="10"/>
      <c r="G70" s="10"/>
      <c r="J70" s="40"/>
    </row>
    <row r="71" spans="1:10" ht="15" thickBot="1" x14ac:dyDescent="0.35">
      <c r="D71" s="10"/>
      <c r="E71" s="10"/>
      <c r="F71" s="10"/>
      <c r="G71" s="10"/>
    </row>
    <row r="72" spans="1:10" ht="14.4" customHeight="1" thickBot="1" x14ac:dyDescent="0.35">
      <c r="A72" s="43"/>
      <c r="B72" s="175" t="s">
        <v>165</v>
      </c>
      <c r="C72" s="175"/>
      <c r="D72" s="176"/>
      <c r="E72" s="177"/>
      <c r="F72" s="180" t="s">
        <v>166</v>
      </c>
      <c r="G72" s="176"/>
    </row>
    <row r="73" spans="1:10" x14ac:dyDescent="0.3">
      <c r="A73" s="44" t="s">
        <v>4</v>
      </c>
      <c r="B73" s="42">
        <v>1</v>
      </c>
      <c r="C73" s="39">
        <v>2</v>
      </c>
      <c r="D73" s="39">
        <v>3</v>
      </c>
      <c r="E73" s="178"/>
      <c r="F73" s="39">
        <v>1</v>
      </c>
      <c r="G73" s="41">
        <v>2</v>
      </c>
    </row>
    <row r="74" spans="1:10" x14ac:dyDescent="0.3">
      <c r="A74" s="44" t="s">
        <v>10</v>
      </c>
      <c r="B74" s="47">
        <v>10.87</v>
      </c>
      <c r="C74" s="1">
        <v>11.07</v>
      </c>
      <c r="D74" s="1">
        <v>11.02</v>
      </c>
      <c r="E74" s="178"/>
      <c r="F74" s="2">
        <v>4.2300000000000004</v>
      </c>
      <c r="G74" s="5">
        <v>4.21</v>
      </c>
    </row>
    <row r="75" spans="1:10" x14ac:dyDescent="0.3">
      <c r="A75" s="44" t="s">
        <v>168</v>
      </c>
      <c r="B75" s="47">
        <v>45.12</v>
      </c>
      <c r="C75" s="1">
        <v>32.83</v>
      </c>
      <c r="D75" s="1">
        <v>43.52</v>
      </c>
      <c r="E75" s="178"/>
      <c r="F75" s="2">
        <v>6.62</v>
      </c>
      <c r="G75" s="5">
        <v>6.47</v>
      </c>
    </row>
    <row r="76" spans="1:10" x14ac:dyDescent="0.3">
      <c r="A76" s="44" t="s">
        <v>12</v>
      </c>
      <c r="B76" s="47">
        <v>33.6</v>
      </c>
      <c r="C76" s="1">
        <v>25.31</v>
      </c>
      <c r="D76" s="1">
        <v>32.14</v>
      </c>
      <c r="E76" s="178"/>
      <c r="F76" s="2">
        <v>6.2</v>
      </c>
      <c r="G76" s="5">
        <v>6.1</v>
      </c>
    </row>
    <row r="77" spans="1:10" x14ac:dyDescent="0.3">
      <c r="A77" s="44" t="s">
        <v>13</v>
      </c>
      <c r="B77" s="47">
        <f>B75-B76</f>
        <v>11.519999999999996</v>
      </c>
      <c r="C77" s="47">
        <f t="shared" ref="C77" si="32">C75-C76</f>
        <v>7.52</v>
      </c>
      <c r="D77" s="47">
        <f t="shared" ref="D77" si="33">D75-D76</f>
        <v>11.380000000000003</v>
      </c>
      <c r="E77" s="178"/>
      <c r="F77" s="2">
        <f t="shared" ref="F77" si="34">F75-F76</f>
        <v>0.41999999999999993</v>
      </c>
      <c r="G77" s="5">
        <f t="shared" ref="G77" si="35">G75-G76</f>
        <v>0.37000000000000011</v>
      </c>
    </row>
    <row r="78" spans="1:10" x14ac:dyDescent="0.3">
      <c r="A78" s="44" t="s">
        <v>169</v>
      </c>
      <c r="B78" s="47">
        <f>B76-B74</f>
        <v>22.730000000000004</v>
      </c>
      <c r="C78" s="47">
        <f t="shared" ref="C78:D78" si="36">C76-C74</f>
        <v>14.239999999999998</v>
      </c>
      <c r="D78" s="47">
        <f t="shared" si="36"/>
        <v>21.12</v>
      </c>
      <c r="E78" s="178"/>
      <c r="F78" s="2">
        <f t="shared" ref="F78:G78" si="37">F76-F74</f>
        <v>1.9699999999999998</v>
      </c>
      <c r="G78" s="5">
        <f t="shared" si="37"/>
        <v>1.8899999999999997</v>
      </c>
    </row>
    <row r="79" spans="1:10" x14ac:dyDescent="0.3">
      <c r="A79" s="48" t="s">
        <v>170</v>
      </c>
      <c r="B79" s="49">
        <f>(B77/B78)*100</f>
        <v>50.681918169819596</v>
      </c>
      <c r="C79" s="49">
        <f t="shared" ref="C79" si="38">(C77/C78)*100</f>
        <v>52.808988764044948</v>
      </c>
      <c r="D79" s="49">
        <f t="shared" ref="D79" si="39">(D77/D78)*100</f>
        <v>53.882575757575765</v>
      </c>
      <c r="E79" s="179"/>
      <c r="F79" s="1">
        <f t="shared" ref="F79" si="40">(F77/F78)*100</f>
        <v>21.319796954314722</v>
      </c>
      <c r="G79" s="61">
        <f t="shared" ref="G79" si="41">(G77/G78)*100</f>
        <v>19.576719576719587</v>
      </c>
    </row>
    <row r="80" spans="1:10" ht="15" thickBot="1" x14ac:dyDescent="0.35">
      <c r="A80" s="45" t="s">
        <v>171</v>
      </c>
      <c r="B80" s="50">
        <v>30</v>
      </c>
      <c r="C80" s="51">
        <v>24</v>
      </c>
      <c r="D80" s="51">
        <v>18</v>
      </c>
      <c r="E80" s="51" t="s">
        <v>174</v>
      </c>
      <c r="F80" s="173">
        <f>(F79+G79)/2</f>
        <v>20.448258265517154</v>
      </c>
      <c r="G80" s="174"/>
    </row>
    <row r="81" spans="1:10" ht="15" thickBot="1" x14ac:dyDescent="0.35">
      <c r="A81" s="57" t="s">
        <v>178</v>
      </c>
      <c r="B81" s="58">
        <f>(B79)*((B80/25)^(0.121))</f>
        <v>51.812431548890302</v>
      </c>
      <c r="C81" s="58">
        <f t="shared" ref="C81" si="42">(C79)*((C80/25)^(0.121))</f>
        <v>52.548783970605449</v>
      </c>
      <c r="D81" s="59">
        <f t="shared" ref="D81" si="43">(D79)*((D80/25)^(0.121))</f>
        <v>51.782806004257317</v>
      </c>
      <c r="E81" s="55"/>
      <c r="F81" s="56"/>
      <c r="G81" s="56"/>
    </row>
    <row r="82" spans="1:10" x14ac:dyDescent="0.3">
      <c r="G82" s="12"/>
    </row>
    <row r="83" spans="1:10" ht="15" thickBot="1" x14ac:dyDescent="0.35">
      <c r="A83" s="52" t="s">
        <v>175</v>
      </c>
    </row>
    <row r="84" spans="1:10" ht="15" thickBot="1" x14ac:dyDescent="0.35">
      <c r="A84" s="53" t="s">
        <v>176</v>
      </c>
      <c r="B84" s="54">
        <f>ROUND(AVERAGE(B81:D81),0)</f>
        <v>52</v>
      </c>
    </row>
    <row r="85" spans="1:10" x14ac:dyDescent="0.3">
      <c r="A85" s="8" t="s">
        <v>166</v>
      </c>
      <c r="B85" s="54">
        <f>ROUND(F80,0)</f>
        <v>20</v>
      </c>
    </row>
    <row r="86" spans="1:10" ht="15" thickBot="1" x14ac:dyDescent="0.35">
      <c r="A86" s="9" t="s">
        <v>177</v>
      </c>
      <c r="B86" s="32">
        <f>B84-B85</f>
        <v>32</v>
      </c>
    </row>
    <row r="89" spans="1:10" x14ac:dyDescent="0.3">
      <c r="A89" s="11" t="s">
        <v>27</v>
      </c>
      <c r="B89" t="s">
        <v>22</v>
      </c>
      <c r="D89" s="10"/>
      <c r="E89" s="10"/>
      <c r="F89" s="10"/>
      <c r="G89" s="10"/>
    </row>
    <row r="90" spans="1:10" x14ac:dyDescent="0.3">
      <c r="A90" s="11" t="s">
        <v>35</v>
      </c>
      <c r="B90" s="46">
        <v>43838</v>
      </c>
      <c r="D90" s="10"/>
      <c r="E90" s="10"/>
      <c r="F90" s="10"/>
      <c r="G90" s="10"/>
    </row>
    <row r="91" spans="1:10" x14ac:dyDescent="0.3">
      <c r="A91" s="11" t="s">
        <v>163</v>
      </c>
      <c r="B91" t="s">
        <v>164</v>
      </c>
      <c r="D91" s="10"/>
      <c r="E91" s="10"/>
      <c r="F91" s="10"/>
      <c r="G91" s="10"/>
      <c r="J91" s="40"/>
    </row>
    <row r="92" spans="1:10" ht="15" thickBot="1" x14ac:dyDescent="0.35">
      <c r="D92" s="10"/>
      <c r="E92" s="10"/>
      <c r="F92" s="10"/>
      <c r="G92" s="10"/>
    </row>
    <row r="93" spans="1:10" ht="14.4" customHeight="1" thickBot="1" x14ac:dyDescent="0.35">
      <c r="A93" s="43"/>
      <c r="B93" s="175" t="s">
        <v>165</v>
      </c>
      <c r="C93" s="175"/>
      <c r="D93" s="176"/>
      <c r="E93" s="177"/>
      <c r="F93" s="180" t="s">
        <v>166</v>
      </c>
      <c r="G93" s="176"/>
    </row>
    <row r="94" spans="1:10" x14ac:dyDescent="0.3">
      <c r="A94" s="44" t="s">
        <v>4</v>
      </c>
      <c r="B94" s="42" t="s">
        <v>184</v>
      </c>
      <c r="C94" s="39">
        <v>8</v>
      </c>
      <c r="D94" s="39">
        <v>6</v>
      </c>
      <c r="E94" s="178"/>
      <c r="F94" s="39">
        <v>5</v>
      </c>
      <c r="G94" s="41">
        <v>4</v>
      </c>
    </row>
    <row r="95" spans="1:10" x14ac:dyDescent="0.3">
      <c r="A95" s="44" t="s">
        <v>10</v>
      </c>
      <c r="B95" s="47">
        <v>15.43</v>
      </c>
      <c r="C95" s="1">
        <v>11.02</v>
      </c>
      <c r="D95" s="1">
        <v>10.98</v>
      </c>
      <c r="E95" s="178"/>
      <c r="F95" s="2">
        <v>4.1500000000000004</v>
      </c>
      <c r="G95" s="5">
        <v>4.2</v>
      </c>
    </row>
    <row r="96" spans="1:10" x14ac:dyDescent="0.3">
      <c r="A96" s="44" t="s">
        <v>168</v>
      </c>
      <c r="B96" s="47">
        <v>50.09</v>
      </c>
      <c r="C96" s="1">
        <v>48.59</v>
      </c>
      <c r="D96" s="1">
        <v>68.33</v>
      </c>
      <c r="E96" s="178"/>
      <c r="F96" s="2">
        <v>8.65</v>
      </c>
      <c r="G96" s="5">
        <v>8.33</v>
      </c>
    </row>
    <row r="97" spans="1:7" x14ac:dyDescent="0.3">
      <c r="A97" s="44" t="s">
        <v>12</v>
      </c>
      <c r="B97" s="47">
        <v>40.97</v>
      </c>
      <c r="C97" s="1">
        <v>38.119999999999997</v>
      </c>
      <c r="D97" s="1">
        <v>51.57</v>
      </c>
      <c r="E97" s="178"/>
      <c r="F97" s="2">
        <v>8.1</v>
      </c>
      <c r="G97" s="5">
        <v>7.7</v>
      </c>
    </row>
    <row r="98" spans="1:7" x14ac:dyDescent="0.3">
      <c r="A98" s="44" t="s">
        <v>13</v>
      </c>
      <c r="B98" s="47">
        <f>B96-B97</f>
        <v>9.1200000000000045</v>
      </c>
      <c r="C98" s="47">
        <f t="shared" ref="C98" si="44">C96-C97</f>
        <v>10.470000000000006</v>
      </c>
      <c r="D98" s="47">
        <f t="shared" ref="D98" si="45">D96-D97</f>
        <v>16.759999999999998</v>
      </c>
      <c r="E98" s="178"/>
      <c r="F98" s="2">
        <f t="shared" ref="F98" si="46">F96-F97</f>
        <v>0.55000000000000071</v>
      </c>
      <c r="G98" s="5">
        <f t="shared" ref="G98" si="47">G96-G97</f>
        <v>0.62999999999999989</v>
      </c>
    </row>
    <row r="99" spans="1:7" x14ac:dyDescent="0.3">
      <c r="A99" s="44" t="s">
        <v>169</v>
      </c>
      <c r="B99" s="47">
        <f>B97-B95</f>
        <v>25.54</v>
      </c>
      <c r="C99" s="47">
        <f t="shared" ref="C99:D99" si="48">C97-C95</f>
        <v>27.099999999999998</v>
      </c>
      <c r="D99" s="47">
        <f t="shared" si="48"/>
        <v>40.590000000000003</v>
      </c>
      <c r="E99" s="178"/>
      <c r="F99" s="2">
        <f t="shared" ref="F99:G99" si="49">F97-F95</f>
        <v>3.9499999999999993</v>
      </c>
      <c r="G99" s="5">
        <f t="shared" si="49"/>
        <v>3.5</v>
      </c>
    </row>
    <row r="100" spans="1:7" x14ac:dyDescent="0.3">
      <c r="A100" s="48" t="s">
        <v>170</v>
      </c>
      <c r="B100" s="49">
        <f>(B98/B99)*100</f>
        <v>35.708692247454991</v>
      </c>
      <c r="C100" s="49">
        <f t="shared" ref="C100" si="50">(C98/C99)*100</f>
        <v>38.634686346863496</v>
      </c>
      <c r="D100" s="49">
        <f t="shared" ref="D100" si="51">(D98/D99)*100</f>
        <v>41.290958364129089</v>
      </c>
      <c r="E100" s="179"/>
      <c r="F100" s="1">
        <f t="shared" ref="F100" si="52">(F98/F99)*100</f>
        <v>13.924050632911413</v>
      </c>
      <c r="G100" s="61">
        <f t="shared" ref="G100" si="53">(G98/G99)*100</f>
        <v>17.999999999999996</v>
      </c>
    </row>
    <row r="101" spans="1:7" ht="15" thickBot="1" x14ac:dyDescent="0.35">
      <c r="A101" s="45" t="s">
        <v>171</v>
      </c>
      <c r="B101" s="50">
        <v>31</v>
      </c>
      <c r="C101" s="51">
        <v>27</v>
      </c>
      <c r="D101" s="51">
        <v>18</v>
      </c>
      <c r="E101" s="51" t="s">
        <v>174</v>
      </c>
      <c r="F101" s="173">
        <f>(F100+G100)/2</f>
        <v>15.962025316455705</v>
      </c>
      <c r="G101" s="174"/>
    </row>
    <row r="102" spans="1:7" ht="15" thickBot="1" x14ac:dyDescent="0.35">
      <c r="A102" s="57" t="s">
        <v>178</v>
      </c>
      <c r="B102" s="58">
        <f>(B100)*((B101/25)^(0.121))</f>
        <v>36.650336744346539</v>
      </c>
      <c r="C102" s="58">
        <f t="shared" ref="C102" si="54">(C100)*((C101/25)^(0.121))</f>
        <v>38.996143981114848</v>
      </c>
      <c r="D102" s="59">
        <f t="shared" ref="D102" si="55">(D100)*((D101/25)^(0.121))</f>
        <v>39.681875942965519</v>
      </c>
      <c r="E102" s="55"/>
      <c r="F102" s="56"/>
      <c r="G102" s="56"/>
    </row>
    <row r="103" spans="1:7" x14ac:dyDescent="0.3">
      <c r="G103" s="12"/>
    </row>
    <row r="104" spans="1:7" ht="15" thickBot="1" x14ac:dyDescent="0.35">
      <c r="A104" s="52" t="s">
        <v>175</v>
      </c>
    </row>
    <row r="105" spans="1:7" ht="15" thickBot="1" x14ac:dyDescent="0.35">
      <c r="A105" s="53" t="s">
        <v>176</v>
      </c>
      <c r="B105" s="54">
        <f>ROUND(AVERAGE(B102:D102),0)</f>
        <v>38</v>
      </c>
    </row>
    <row r="106" spans="1:7" x14ac:dyDescent="0.3">
      <c r="A106" s="8" t="s">
        <v>166</v>
      </c>
      <c r="B106" s="54">
        <f>ROUND(F101,0)</f>
        <v>16</v>
      </c>
    </row>
    <row r="107" spans="1:7" ht="15" thickBot="1" x14ac:dyDescent="0.35">
      <c r="A107" s="9" t="s">
        <v>177</v>
      </c>
      <c r="B107" s="32">
        <f>B105-B106</f>
        <v>22</v>
      </c>
    </row>
    <row r="110" spans="1:7" x14ac:dyDescent="0.3">
      <c r="A110" s="172" t="s">
        <v>200</v>
      </c>
      <c r="B110" s="172"/>
    </row>
    <row r="111" spans="1:7" ht="15" thickBot="1" x14ac:dyDescent="0.35"/>
    <row r="112" spans="1:7" x14ac:dyDescent="0.3">
      <c r="A112" s="53" t="s">
        <v>195</v>
      </c>
      <c r="B112" s="54">
        <v>140</v>
      </c>
    </row>
    <row r="113" spans="1:10" x14ac:dyDescent="0.3">
      <c r="A113" s="8" t="s">
        <v>196</v>
      </c>
      <c r="B113" s="5">
        <v>130</v>
      </c>
    </row>
    <row r="114" spans="1:10" x14ac:dyDescent="0.3">
      <c r="A114" s="8" t="s">
        <v>197</v>
      </c>
      <c r="B114" s="5">
        <f>100*((B112-B113)/B112)</f>
        <v>7.1428571428571423</v>
      </c>
    </row>
    <row r="115" spans="1:10" ht="15" thickBot="1" x14ac:dyDescent="0.35">
      <c r="A115" s="9" t="s">
        <v>198</v>
      </c>
      <c r="B115" s="32">
        <f>ROUND(B114,0)</f>
        <v>7</v>
      </c>
    </row>
    <row r="118" spans="1:10" x14ac:dyDescent="0.3">
      <c r="A118" s="11" t="s">
        <v>30</v>
      </c>
      <c r="B118" t="s">
        <v>80</v>
      </c>
      <c r="D118" s="10"/>
      <c r="E118" s="10"/>
      <c r="F118" s="10"/>
      <c r="G118" s="10"/>
    </row>
    <row r="119" spans="1:10" x14ac:dyDescent="0.3">
      <c r="A119" s="11" t="s">
        <v>35</v>
      </c>
      <c r="B119" s="46">
        <v>43838</v>
      </c>
      <c r="D119" s="10"/>
      <c r="E119" s="10"/>
      <c r="F119" s="10"/>
      <c r="G119" s="10"/>
    </row>
    <row r="120" spans="1:10" x14ac:dyDescent="0.3">
      <c r="A120" s="11" t="s">
        <v>163</v>
      </c>
      <c r="B120" t="s">
        <v>164</v>
      </c>
      <c r="D120" s="10"/>
      <c r="E120" s="10"/>
      <c r="F120" s="10"/>
      <c r="G120" s="10"/>
      <c r="J120" s="40"/>
    </row>
    <row r="121" spans="1:10" ht="15" thickBot="1" x14ac:dyDescent="0.35">
      <c r="D121" s="10"/>
      <c r="E121" s="10"/>
      <c r="F121" s="10"/>
      <c r="G121" s="10"/>
    </row>
    <row r="122" spans="1:10" ht="14.4" customHeight="1" thickBot="1" x14ac:dyDescent="0.35">
      <c r="A122" s="43"/>
      <c r="B122" s="175" t="s">
        <v>165</v>
      </c>
      <c r="C122" s="175"/>
      <c r="D122" s="176"/>
      <c r="E122" s="177"/>
      <c r="F122" s="180" t="s">
        <v>166</v>
      </c>
      <c r="G122" s="176"/>
    </row>
    <row r="123" spans="1:10" x14ac:dyDescent="0.3">
      <c r="A123" s="44" t="s">
        <v>4</v>
      </c>
      <c r="B123" s="42" t="s">
        <v>185</v>
      </c>
      <c r="C123" s="39" t="s">
        <v>186</v>
      </c>
      <c r="D123" s="39" t="s">
        <v>26</v>
      </c>
      <c r="E123" s="178"/>
      <c r="F123" s="39">
        <v>28</v>
      </c>
      <c r="G123" s="41">
        <v>24</v>
      </c>
    </row>
    <row r="124" spans="1:10" x14ac:dyDescent="0.3">
      <c r="A124" s="44" t="s">
        <v>10</v>
      </c>
      <c r="B124" s="47">
        <v>30.92</v>
      </c>
      <c r="C124" s="1">
        <v>20.86</v>
      </c>
      <c r="D124" s="1">
        <v>16.38</v>
      </c>
      <c r="E124" s="178"/>
      <c r="F124" s="2">
        <v>11.03</v>
      </c>
      <c r="G124" s="5">
        <v>11.08</v>
      </c>
    </row>
    <row r="125" spans="1:10" x14ac:dyDescent="0.3">
      <c r="A125" s="44" t="s">
        <v>168</v>
      </c>
      <c r="B125" s="47">
        <v>84.98</v>
      </c>
      <c r="C125" s="1">
        <v>70.64</v>
      </c>
      <c r="D125" s="1">
        <v>71.42</v>
      </c>
      <c r="E125" s="178"/>
      <c r="F125" s="2">
        <v>15.66</v>
      </c>
      <c r="G125" s="5">
        <v>14.71</v>
      </c>
    </row>
    <row r="126" spans="1:10" x14ac:dyDescent="0.3">
      <c r="A126" s="44" t="s">
        <v>12</v>
      </c>
      <c r="B126" s="47">
        <v>58.09</v>
      </c>
      <c r="C126" s="1">
        <v>45.59</v>
      </c>
      <c r="D126" s="1">
        <v>43.62</v>
      </c>
      <c r="E126" s="178"/>
      <c r="F126" s="2">
        <v>14.5</v>
      </c>
      <c r="G126" s="5">
        <v>13.8</v>
      </c>
    </row>
    <row r="127" spans="1:10" x14ac:dyDescent="0.3">
      <c r="A127" s="44" t="s">
        <v>13</v>
      </c>
      <c r="B127" s="47">
        <f>B125-B126</f>
        <v>26.89</v>
      </c>
      <c r="C127" s="47">
        <f t="shared" ref="C127" si="56">C125-C126</f>
        <v>25.049999999999997</v>
      </c>
      <c r="D127" s="47">
        <f t="shared" ref="D127" si="57">D125-D126</f>
        <v>27.800000000000004</v>
      </c>
      <c r="E127" s="178"/>
      <c r="F127" s="2">
        <f t="shared" ref="F127" si="58">F125-F126</f>
        <v>1.1600000000000001</v>
      </c>
      <c r="G127" s="5">
        <f t="shared" ref="G127" si="59">G125-G126</f>
        <v>0.91000000000000014</v>
      </c>
    </row>
    <row r="128" spans="1:10" x14ac:dyDescent="0.3">
      <c r="A128" s="44" t="s">
        <v>169</v>
      </c>
      <c r="B128" s="47">
        <f>B126-B124</f>
        <v>27.17</v>
      </c>
      <c r="C128" s="47">
        <f t="shared" ref="C128:D128" si="60">C126-C124</f>
        <v>24.730000000000004</v>
      </c>
      <c r="D128" s="47">
        <f t="shared" si="60"/>
        <v>27.24</v>
      </c>
      <c r="E128" s="178"/>
      <c r="F128" s="2">
        <f t="shared" ref="F128:G128" si="61">F126-F124</f>
        <v>3.4700000000000006</v>
      </c>
      <c r="G128" s="5">
        <f t="shared" si="61"/>
        <v>2.7200000000000006</v>
      </c>
    </row>
    <row r="129" spans="1:10" x14ac:dyDescent="0.3">
      <c r="A129" s="48" t="s">
        <v>170</v>
      </c>
      <c r="B129" s="49">
        <f>(B127/B128)*100</f>
        <v>98.969451601030542</v>
      </c>
      <c r="C129" s="49">
        <f t="shared" ref="C129" si="62">(C127/C128)*100</f>
        <v>101.2939749292357</v>
      </c>
      <c r="D129" s="49">
        <f t="shared" ref="D129" si="63">(D127/D128)*100</f>
        <v>102.05580029368578</v>
      </c>
      <c r="E129" s="179"/>
      <c r="F129" s="1">
        <f t="shared" ref="F129" si="64">(F127/F128)*100</f>
        <v>33.429394812680115</v>
      </c>
      <c r="G129" s="61">
        <f t="shared" ref="G129" si="65">(G127/G128)*100</f>
        <v>33.455882352941174</v>
      </c>
    </row>
    <row r="130" spans="1:10" ht="15" thickBot="1" x14ac:dyDescent="0.35">
      <c r="A130" s="45" t="s">
        <v>171</v>
      </c>
      <c r="B130" s="50">
        <v>30</v>
      </c>
      <c r="C130" s="62">
        <v>22</v>
      </c>
      <c r="D130" s="51">
        <v>17</v>
      </c>
      <c r="E130" s="51" t="s">
        <v>174</v>
      </c>
      <c r="F130" s="173">
        <f>(F129+G129)/2</f>
        <v>33.442638582810645</v>
      </c>
      <c r="G130" s="174"/>
    </row>
    <row r="131" spans="1:10" ht="15" thickBot="1" x14ac:dyDescent="0.35">
      <c r="A131" s="57" t="s">
        <v>178</v>
      </c>
      <c r="B131" s="58">
        <f>(B129)*((B130/25)^(0.121))</f>
        <v>101.17706909449949</v>
      </c>
      <c r="C131" s="58">
        <f t="shared" ref="C131" si="66">(C129)*((C130/25)^(0.121))</f>
        <v>99.739231398040303</v>
      </c>
      <c r="D131" s="59">
        <f t="shared" ref="D131" si="67">(D129)*((D130/25)^(0.121))</f>
        <v>97.402761774918233</v>
      </c>
      <c r="E131" s="55"/>
      <c r="F131" s="56"/>
      <c r="G131" s="56"/>
    </row>
    <row r="132" spans="1:10" x14ac:dyDescent="0.3">
      <c r="G132" s="12"/>
    </row>
    <row r="133" spans="1:10" ht="15" thickBot="1" x14ac:dyDescent="0.35">
      <c r="A133" s="52" t="s">
        <v>175</v>
      </c>
    </row>
    <row r="134" spans="1:10" ht="15" thickBot="1" x14ac:dyDescent="0.35">
      <c r="A134" s="53" t="s">
        <v>176</v>
      </c>
      <c r="B134" s="54">
        <f>ROUND(AVERAGE(B131:D131),0)</f>
        <v>99</v>
      </c>
    </row>
    <row r="135" spans="1:10" x14ac:dyDescent="0.3">
      <c r="A135" s="8" t="s">
        <v>166</v>
      </c>
      <c r="B135" s="54">
        <f>ROUND(F130,0)</f>
        <v>33</v>
      </c>
    </row>
    <row r="136" spans="1:10" ht="15" thickBot="1" x14ac:dyDescent="0.35">
      <c r="A136" s="9" t="s">
        <v>177</v>
      </c>
      <c r="B136" s="32">
        <f>B134-B135</f>
        <v>66</v>
      </c>
    </row>
    <row r="139" spans="1:10" x14ac:dyDescent="0.3">
      <c r="A139" s="11" t="s">
        <v>81</v>
      </c>
      <c r="B139" t="s">
        <v>82</v>
      </c>
      <c r="D139" s="10"/>
      <c r="E139" s="10"/>
      <c r="F139" s="10"/>
      <c r="G139" s="10"/>
    </row>
    <row r="140" spans="1:10" x14ac:dyDescent="0.3">
      <c r="A140" s="11" t="s">
        <v>35</v>
      </c>
      <c r="B140" s="46">
        <v>43838</v>
      </c>
      <c r="D140" s="10"/>
      <c r="E140" s="10"/>
      <c r="F140" s="10"/>
      <c r="G140" s="10"/>
    </row>
    <row r="141" spans="1:10" x14ac:dyDescent="0.3">
      <c r="A141" s="11" t="s">
        <v>163</v>
      </c>
      <c r="B141" t="s">
        <v>164</v>
      </c>
      <c r="D141" s="10"/>
      <c r="E141" s="10"/>
      <c r="F141" s="10"/>
      <c r="G141" s="10"/>
      <c r="J141" s="40"/>
    </row>
    <row r="142" spans="1:10" ht="15" thickBot="1" x14ac:dyDescent="0.35">
      <c r="D142" s="10"/>
      <c r="E142" s="10"/>
      <c r="F142" s="10"/>
      <c r="G142" s="10"/>
    </row>
    <row r="143" spans="1:10" ht="14.4" customHeight="1" thickBot="1" x14ac:dyDescent="0.35">
      <c r="A143" s="43"/>
      <c r="B143" s="175" t="s">
        <v>165</v>
      </c>
      <c r="C143" s="175"/>
      <c r="D143" s="176"/>
      <c r="E143" s="177"/>
      <c r="F143" s="180" t="s">
        <v>166</v>
      </c>
      <c r="G143" s="176"/>
    </row>
    <row r="144" spans="1:10" x14ac:dyDescent="0.3">
      <c r="A144" s="44" t="s">
        <v>4</v>
      </c>
      <c r="B144" s="42" t="s">
        <v>188</v>
      </c>
      <c r="C144" s="39" t="s">
        <v>189</v>
      </c>
      <c r="D144" s="39" t="s">
        <v>190</v>
      </c>
      <c r="E144" s="178"/>
      <c r="F144" s="39" t="s">
        <v>183</v>
      </c>
      <c r="G144" s="41" t="s">
        <v>182</v>
      </c>
    </row>
    <row r="145" spans="1:7" x14ac:dyDescent="0.3">
      <c r="A145" s="44" t="s">
        <v>10</v>
      </c>
      <c r="B145" s="47">
        <v>20.170000000000002</v>
      </c>
      <c r="C145" s="1">
        <v>18.3</v>
      </c>
      <c r="D145" s="1">
        <v>27.18</v>
      </c>
      <c r="E145" s="178"/>
      <c r="F145" s="2">
        <v>4.16</v>
      </c>
      <c r="G145" s="5">
        <v>4.2300000000000004</v>
      </c>
    </row>
    <row r="146" spans="1:7" x14ac:dyDescent="0.3">
      <c r="A146" s="44" t="s">
        <v>168</v>
      </c>
      <c r="B146" s="47">
        <v>68.95</v>
      </c>
      <c r="C146" s="1">
        <v>72.02</v>
      </c>
      <c r="D146" s="1">
        <v>93.04</v>
      </c>
      <c r="E146" s="178"/>
      <c r="F146" s="2">
        <v>8.7100000000000009</v>
      </c>
      <c r="G146" s="5">
        <v>8.4700000000000006</v>
      </c>
    </row>
    <row r="147" spans="1:7" x14ac:dyDescent="0.3">
      <c r="A147" s="44" t="s">
        <v>12</v>
      </c>
      <c r="B147" s="47">
        <v>47.05</v>
      </c>
      <c r="C147" s="1">
        <v>46.71</v>
      </c>
      <c r="D147" s="1">
        <v>61.11</v>
      </c>
      <c r="E147" s="178"/>
      <c r="F147" s="2">
        <v>7.6</v>
      </c>
      <c r="G147" s="5">
        <v>7.4</v>
      </c>
    </row>
    <row r="148" spans="1:7" x14ac:dyDescent="0.3">
      <c r="A148" s="44" t="s">
        <v>13</v>
      </c>
      <c r="B148" s="47">
        <f>B146-B147</f>
        <v>21.900000000000006</v>
      </c>
      <c r="C148" s="47">
        <f t="shared" ref="C148" si="68">C146-C147</f>
        <v>25.309999999999995</v>
      </c>
      <c r="D148" s="47">
        <f t="shared" ref="D148" si="69">D146-D147</f>
        <v>31.930000000000007</v>
      </c>
      <c r="E148" s="178"/>
      <c r="F148" s="2">
        <f t="shared" ref="F148" si="70">F146-F147</f>
        <v>1.1100000000000012</v>
      </c>
      <c r="G148" s="5">
        <f t="shared" ref="G148" si="71">G146-G147</f>
        <v>1.0700000000000003</v>
      </c>
    </row>
    <row r="149" spans="1:7" x14ac:dyDescent="0.3">
      <c r="A149" s="44" t="s">
        <v>169</v>
      </c>
      <c r="B149" s="47">
        <f>B147-B145</f>
        <v>26.879999999999995</v>
      </c>
      <c r="C149" s="47">
        <f t="shared" ref="C149:D149" si="72">C147-C145</f>
        <v>28.41</v>
      </c>
      <c r="D149" s="47">
        <f t="shared" si="72"/>
        <v>33.93</v>
      </c>
      <c r="E149" s="178"/>
      <c r="F149" s="2">
        <f t="shared" ref="F149:G149" si="73">F147-F145</f>
        <v>3.4399999999999995</v>
      </c>
      <c r="G149" s="5">
        <f t="shared" si="73"/>
        <v>3.17</v>
      </c>
    </row>
    <row r="150" spans="1:7" x14ac:dyDescent="0.3">
      <c r="A150" s="48" t="s">
        <v>170</v>
      </c>
      <c r="B150" s="49">
        <f>(B148/B149)*100</f>
        <v>81.47321428571432</v>
      </c>
      <c r="C150" s="49">
        <f t="shared" ref="C150" si="74">(C148/C149)*100</f>
        <v>89.088349172826454</v>
      </c>
      <c r="D150" s="49">
        <f t="shared" ref="D150" si="75">(D148/D149)*100</f>
        <v>94.10551134689068</v>
      </c>
      <c r="E150" s="179"/>
      <c r="F150" s="1">
        <f t="shared" ref="F150" si="76">(F148/F149)*100</f>
        <v>32.267441860465155</v>
      </c>
      <c r="G150" s="61">
        <f t="shared" ref="G150" si="77">(G148/G149)*100</f>
        <v>33.753943217665629</v>
      </c>
    </row>
    <row r="151" spans="1:7" ht="15" thickBot="1" x14ac:dyDescent="0.35">
      <c r="A151" s="45" t="s">
        <v>171</v>
      </c>
      <c r="B151" s="50">
        <v>31</v>
      </c>
      <c r="C151" s="51">
        <v>25</v>
      </c>
      <c r="D151" s="51">
        <v>16</v>
      </c>
      <c r="E151" s="51" t="s">
        <v>174</v>
      </c>
      <c r="F151" s="173">
        <f>(F150+G150)/2</f>
        <v>33.010692539065388</v>
      </c>
      <c r="G151" s="174"/>
    </row>
    <row r="152" spans="1:7" ht="15" thickBot="1" x14ac:dyDescent="0.35">
      <c r="A152" s="57" t="s">
        <v>178</v>
      </c>
      <c r="B152" s="58">
        <f>(B150)*((B151/25)^(0.121))</f>
        <v>83.621677280230088</v>
      </c>
      <c r="C152" s="58">
        <f t="shared" ref="C152" si="78">(C150)*((C151/25)^(0.121))</f>
        <v>89.088349172826454</v>
      </c>
      <c r="D152" s="59">
        <f t="shared" ref="D152" si="79">(D150)*((D151/25)^(0.121))</f>
        <v>89.158516923373426</v>
      </c>
      <c r="E152" s="55"/>
      <c r="F152" s="56"/>
      <c r="G152" s="56"/>
    </row>
    <row r="153" spans="1:7" x14ac:dyDescent="0.3">
      <c r="G153" s="12"/>
    </row>
    <row r="154" spans="1:7" ht="15" thickBot="1" x14ac:dyDescent="0.35">
      <c r="A154" s="52" t="s">
        <v>175</v>
      </c>
    </row>
    <row r="155" spans="1:7" ht="15" thickBot="1" x14ac:dyDescent="0.35">
      <c r="A155" s="53" t="s">
        <v>176</v>
      </c>
      <c r="B155" s="54">
        <f>ROUND(AVERAGE(B152:D152),0)</f>
        <v>87</v>
      </c>
    </row>
    <row r="156" spans="1:7" x14ac:dyDescent="0.3">
      <c r="A156" s="8" t="s">
        <v>166</v>
      </c>
      <c r="B156" s="54">
        <f>ROUND(F151,0)</f>
        <v>33</v>
      </c>
    </row>
    <row r="157" spans="1:7" ht="15" thickBot="1" x14ac:dyDescent="0.35">
      <c r="A157" s="9" t="s">
        <v>177</v>
      </c>
      <c r="B157" s="32">
        <f>B155-B156</f>
        <v>54</v>
      </c>
    </row>
    <row r="161" spans="1:10" x14ac:dyDescent="0.3">
      <c r="A161" s="11" t="s">
        <v>84</v>
      </c>
      <c r="B161" t="s">
        <v>83</v>
      </c>
      <c r="D161" s="10"/>
      <c r="E161" s="10"/>
      <c r="F161" s="10"/>
      <c r="G161" s="10"/>
    </row>
    <row r="162" spans="1:10" x14ac:dyDescent="0.3">
      <c r="A162" s="11" t="s">
        <v>35</v>
      </c>
      <c r="B162" s="46">
        <v>43838</v>
      </c>
      <c r="D162" s="10"/>
      <c r="E162" s="10"/>
      <c r="F162" s="10"/>
      <c r="G162" s="10"/>
    </row>
    <row r="163" spans="1:10" x14ac:dyDescent="0.3">
      <c r="A163" s="11" t="s">
        <v>163</v>
      </c>
      <c r="B163" t="s">
        <v>164</v>
      </c>
      <c r="D163" s="10"/>
      <c r="E163" s="10"/>
      <c r="F163" s="10"/>
      <c r="G163" s="10"/>
      <c r="J163" s="40"/>
    </row>
    <row r="164" spans="1:10" ht="15" thickBot="1" x14ac:dyDescent="0.35">
      <c r="D164" s="10"/>
      <c r="E164" s="10"/>
      <c r="F164" s="10"/>
      <c r="G164" s="10"/>
    </row>
    <row r="165" spans="1:10" ht="14.4" customHeight="1" thickBot="1" x14ac:dyDescent="0.35">
      <c r="A165" s="43"/>
      <c r="B165" s="175" t="s">
        <v>165</v>
      </c>
      <c r="C165" s="175"/>
      <c r="D165" s="176"/>
      <c r="E165" s="177"/>
      <c r="F165" s="180" t="s">
        <v>166</v>
      </c>
      <c r="G165" s="176"/>
    </row>
    <row r="166" spans="1:10" x14ac:dyDescent="0.3">
      <c r="A166" s="44" t="s">
        <v>4</v>
      </c>
      <c r="B166" s="42" t="s">
        <v>191</v>
      </c>
      <c r="C166" s="39" t="s">
        <v>192</v>
      </c>
      <c r="D166" s="39" t="s">
        <v>193</v>
      </c>
      <c r="E166" s="178"/>
      <c r="F166" s="39" t="s">
        <v>194</v>
      </c>
      <c r="G166" s="41">
        <v>23</v>
      </c>
    </row>
    <row r="167" spans="1:10" x14ac:dyDescent="0.3">
      <c r="A167" s="44" t="s">
        <v>10</v>
      </c>
      <c r="B167" s="47">
        <v>17.25</v>
      </c>
      <c r="C167" s="1">
        <v>19.21</v>
      </c>
      <c r="D167" s="1">
        <v>18.75</v>
      </c>
      <c r="E167" s="178"/>
      <c r="F167" s="2">
        <v>4.17</v>
      </c>
      <c r="G167" s="5">
        <v>11.16</v>
      </c>
    </row>
    <row r="168" spans="1:10" x14ac:dyDescent="0.3">
      <c r="A168" s="44" t="s">
        <v>168</v>
      </c>
      <c r="B168" s="47">
        <v>68.97</v>
      </c>
      <c r="C168" s="1">
        <v>86.06</v>
      </c>
      <c r="D168" s="1">
        <v>103.93</v>
      </c>
      <c r="E168" s="178"/>
      <c r="F168" s="2">
        <v>9.06</v>
      </c>
      <c r="G168" s="5">
        <v>17.05</v>
      </c>
    </row>
    <row r="169" spans="1:10" x14ac:dyDescent="0.3">
      <c r="A169" s="44" t="s">
        <v>12</v>
      </c>
      <c r="B169" s="47">
        <v>46.42</v>
      </c>
      <c r="C169" s="1">
        <v>56.46</v>
      </c>
      <c r="D169" s="1">
        <v>65.239999999999995</v>
      </c>
      <c r="E169" s="178"/>
      <c r="F169" s="2">
        <v>7.89</v>
      </c>
      <c r="G169" s="5">
        <v>15.62</v>
      </c>
    </row>
    <row r="170" spans="1:10" x14ac:dyDescent="0.3">
      <c r="A170" s="44" t="s">
        <v>13</v>
      </c>
      <c r="B170" s="47">
        <f>B168-B169</f>
        <v>22.549999999999997</v>
      </c>
      <c r="C170" s="47">
        <f t="shared" ref="C170" si="80">C168-C169</f>
        <v>29.6</v>
      </c>
      <c r="D170" s="47">
        <f t="shared" ref="D170" si="81">D168-D169</f>
        <v>38.690000000000012</v>
      </c>
      <c r="E170" s="178"/>
      <c r="F170" s="2">
        <f t="shared" ref="F170" si="82">F168-F169</f>
        <v>1.1700000000000008</v>
      </c>
      <c r="G170" s="5">
        <f t="shared" ref="G170" si="83">G168-G169</f>
        <v>1.4300000000000015</v>
      </c>
    </row>
    <row r="171" spans="1:10" x14ac:dyDescent="0.3">
      <c r="A171" s="44" t="s">
        <v>169</v>
      </c>
      <c r="B171" s="47">
        <f>B169-B167</f>
        <v>29.17</v>
      </c>
      <c r="C171" s="47">
        <f t="shared" ref="C171:D171" si="84">C169-C167</f>
        <v>37.25</v>
      </c>
      <c r="D171" s="47">
        <f t="shared" si="84"/>
        <v>46.489999999999995</v>
      </c>
      <c r="E171" s="178"/>
      <c r="F171" s="2">
        <f t="shared" ref="F171:G171" si="85">F169-F167</f>
        <v>3.7199999999999998</v>
      </c>
      <c r="G171" s="5">
        <f t="shared" si="85"/>
        <v>4.4599999999999991</v>
      </c>
    </row>
    <row r="172" spans="1:10" x14ac:dyDescent="0.3">
      <c r="A172" s="48" t="s">
        <v>170</v>
      </c>
      <c r="B172" s="49">
        <f>(B170/B171)*100</f>
        <v>77.305450805622201</v>
      </c>
      <c r="C172" s="49">
        <f t="shared" ref="C172" si="86">(C170/C171)*100</f>
        <v>79.463087248322154</v>
      </c>
      <c r="D172" s="49">
        <f t="shared" ref="D172" si="87">(D170/D171)*100</f>
        <v>83.222198322219867</v>
      </c>
      <c r="E172" s="179"/>
      <c r="F172" s="1">
        <f t="shared" ref="F172" si="88">(F170/F171)*100</f>
        <v>31.451612903225829</v>
      </c>
      <c r="G172" s="61">
        <f t="shared" ref="G172" si="89">(G170/G171)*100</f>
        <v>32.062780269058337</v>
      </c>
    </row>
    <row r="173" spans="1:10" ht="15" thickBot="1" x14ac:dyDescent="0.35">
      <c r="A173" s="45" t="s">
        <v>171</v>
      </c>
      <c r="B173" s="50">
        <v>33</v>
      </c>
      <c r="C173" s="51">
        <v>25</v>
      </c>
      <c r="D173" s="51">
        <v>15</v>
      </c>
      <c r="E173" s="51" t="s">
        <v>174</v>
      </c>
      <c r="F173" s="173">
        <f>(F172+G172)/2</f>
        <v>31.757196586142083</v>
      </c>
      <c r="G173" s="174"/>
    </row>
    <row r="174" spans="1:10" ht="15" thickBot="1" x14ac:dyDescent="0.35">
      <c r="A174" s="57" t="s">
        <v>178</v>
      </c>
      <c r="B174" s="58">
        <f>(B172)*((B173/25)^(0.121))</f>
        <v>79.946519764750661</v>
      </c>
      <c r="C174" s="58">
        <f t="shared" ref="C174" si="90">(C172)*((C173/25)^(0.121))</f>
        <v>79.463087248322154</v>
      </c>
      <c r="D174" s="59">
        <f t="shared" ref="D174" si="91">(D172)*((D173/25)^(0.121))</f>
        <v>78.233990835117822</v>
      </c>
      <c r="E174" s="55"/>
      <c r="F174" s="56"/>
      <c r="G174" s="56"/>
    </row>
    <row r="175" spans="1:10" x14ac:dyDescent="0.3">
      <c r="G175" s="12"/>
    </row>
    <row r="176" spans="1:10" ht="15" thickBot="1" x14ac:dyDescent="0.35">
      <c r="A176" s="52" t="s">
        <v>175</v>
      </c>
    </row>
    <row r="177" spans="1:2" ht="15" thickBot="1" x14ac:dyDescent="0.35">
      <c r="A177" s="53" t="s">
        <v>176</v>
      </c>
      <c r="B177" s="54">
        <f>ROUND(AVERAGE(B174:D174),0)</f>
        <v>79</v>
      </c>
    </row>
    <row r="178" spans="1:2" x14ac:dyDescent="0.3">
      <c r="A178" s="8" t="s">
        <v>166</v>
      </c>
      <c r="B178" s="54">
        <f>ROUND(F173,0)</f>
        <v>32</v>
      </c>
    </row>
    <row r="179" spans="1:2" ht="15" thickBot="1" x14ac:dyDescent="0.35">
      <c r="A179" s="9" t="s">
        <v>177</v>
      </c>
      <c r="B179" s="32">
        <f>B177-B178</f>
        <v>47</v>
      </c>
    </row>
    <row r="180" spans="1:2" ht="15" customHeight="1" x14ac:dyDescent="0.3"/>
    <row r="182" spans="1:2" x14ac:dyDescent="0.3">
      <c r="A182" s="172" t="s">
        <v>199</v>
      </c>
      <c r="B182" s="172"/>
    </row>
    <row r="183" spans="1:2" ht="15" thickBot="1" x14ac:dyDescent="0.35"/>
    <row r="184" spans="1:2" x14ac:dyDescent="0.3">
      <c r="A184" s="53" t="s">
        <v>195</v>
      </c>
      <c r="B184" s="54">
        <v>140</v>
      </c>
    </row>
    <row r="185" spans="1:2" x14ac:dyDescent="0.3">
      <c r="A185" s="8" t="s">
        <v>196</v>
      </c>
      <c r="B185" s="5">
        <v>129.32</v>
      </c>
    </row>
    <row r="186" spans="1:2" x14ac:dyDescent="0.3">
      <c r="A186" s="8" t="s">
        <v>197</v>
      </c>
      <c r="B186" s="5">
        <f>100*((B184-B185)/B184)</f>
        <v>7.6285714285714334</v>
      </c>
    </row>
    <row r="187" spans="1:2" ht="15" thickBot="1" x14ac:dyDescent="0.35">
      <c r="A187" s="9" t="s">
        <v>198</v>
      </c>
      <c r="B187" s="32">
        <f>ROUND(B186,0)</f>
        <v>8</v>
      </c>
    </row>
  </sheetData>
  <mergeCells count="36">
    <mergeCell ref="B3:G3"/>
    <mergeCell ref="B4:G4"/>
    <mergeCell ref="B10:D10"/>
    <mergeCell ref="F10:G10"/>
    <mergeCell ref="B93:D93"/>
    <mergeCell ref="E93:E100"/>
    <mergeCell ref="F93:G93"/>
    <mergeCell ref="E10:E17"/>
    <mergeCell ref="F18:G18"/>
    <mergeCell ref="B30:D30"/>
    <mergeCell ref="E30:E37"/>
    <mergeCell ref="F30:G30"/>
    <mergeCell ref="F38:G38"/>
    <mergeCell ref="B51:D51"/>
    <mergeCell ref="E51:E58"/>
    <mergeCell ref="F51:G51"/>
    <mergeCell ref="F59:G59"/>
    <mergeCell ref="B72:D72"/>
    <mergeCell ref="E72:E79"/>
    <mergeCell ref="F72:G72"/>
    <mergeCell ref="F80:G80"/>
    <mergeCell ref="A182:B182"/>
    <mergeCell ref="F101:G101"/>
    <mergeCell ref="B122:D122"/>
    <mergeCell ref="E122:E129"/>
    <mergeCell ref="F122:G122"/>
    <mergeCell ref="F130:G130"/>
    <mergeCell ref="B143:D143"/>
    <mergeCell ref="E143:E150"/>
    <mergeCell ref="F143:G143"/>
    <mergeCell ref="A110:B110"/>
    <mergeCell ref="F151:G151"/>
    <mergeCell ref="B165:D165"/>
    <mergeCell ref="E165:E172"/>
    <mergeCell ref="F165:G165"/>
    <mergeCell ref="F173:G173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8"/>
  <dimension ref="A3:J109"/>
  <sheetViews>
    <sheetView topLeftCell="A74" zoomScale="85" zoomScaleNormal="85" workbookViewId="0">
      <selection activeCell="J108" sqref="J108"/>
    </sheetView>
  </sheetViews>
  <sheetFormatPr defaultRowHeight="14.4" x14ac:dyDescent="0.3"/>
  <cols>
    <col min="1" max="1" width="34.33203125" customWidth="1"/>
    <col min="2" max="2" width="18.6640625" customWidth="1"/>
    <col min="3" max="3" width="12" customWidth="1"/>
  </cols>
  <sheetData>
    <row r="3" spans="1:10" ht="37.200000000000003" customHeight="1" x14ac:dyDescent="0.3">
      <c r="A3" s="14" t="s">
        <v>0</v>
      </c>
      <c r="B3" s="181" t="s">
        <v>57</v>
      </c>
      <c r="C3" s="181"/>
      <c r="D3" s="181"/>
      <c r="E3" s="181"/>
      <c r="F3" s="181"/>
      <c r="G3" s="181"/>
    </row>
    <row r="4" spans="1:10" x14ac:dyDescent="0.3">
      <c r="A4" s="15" t="s">
        <v>210</v>
      </c>
      <c r="B4" s="169" t="s">
        <v>211</v>
      </c>
      <c r="C4" s="170"/>
      <c r="D4" s="170"/>
      <c r="E4" s="170"/>
      <c r="F4" s="170"/>
      <c r="G4" s="171"/>
    </row>
    <row r="5" spans="1:10" s="65" customFormat="1" x14ac:dyDescent="0.3">
      <c r="A5" s="25"/>
      <c r="B5" s="64"/>
      <c r="C5" s="64"/>
      <c r="D5" s="64"/>
      <c r="E5" s="64"/>
      <c r="F5" s="64"/>
      <c r="G5" s="64"/>
    </row>
    <row r="6" spans="1:10" x14ac:dyDescent="0.3">
      <c r="A6" s="11" t="s">
        <v>16</v>
      </c>
      <c r="B6" t="s">
        <v>58</v>
      </c>
      <c r="D6" s="10"/>
      <c r="E6" s="10"/>
      <c r="F6" s="10"/>
      <c r="G6" s="10"/>
    </row>
    <row r="7" spans="1:10" x14ac:dyDescent="0.3">
      <c r="A7" s="11" t="s">
        <v>35</v>
      </c>
      <c r="B7" s="46">
        <v>43845</v>
      </c>
      <c r="D7" s="10"/>
      <c r="E7" s="10"/>
      <c r="F7" s="10"/>
      <c r="G7" s="10"/>
    </row>
    <row r="8" spans="1:10" x14ac:dyDescent="0.3">
      <c r="A8" s="11" t="s">
        <v>163</v>
      </c>
      <c r="B8" t="s">
        <v>164</v>
      </c>
      <c r="D8" s="10"/>
      <c r="E8" s="10"/>
      <c r="F8" s="10"/>
      <c r="G8" s="10"/>
      <c r="J8" s="40"/>
    </row>
    <row r="10" spans="1:10" x14ac:dyDescent="0.3">
      <c r="B10" s="63" t="s">
        <v>206</v>
      </c>
      <c r="C10" s="63" t="s">
        <v>207</v>
      </c>
    </row>
    <row r="11" spans="1:10" x14ac:dyDescent="0.3">
      <c r="A11" s="28" t="s">
        <v>209</v>
      </c>
      <c r="B11" s="22">
        <v>226.7</v>
      </c>
      <c r="C11" s="22">
        <v>228.1</v>
      </c>
    </row>
    <row r="12" spans="1:10" x14ac:dyDescent="0.3">
      <c r="A12" s="28" t="s">
        <v>202</v>
      </c>
      <c r="B12" s="22">
        <v>300</v>
      </c>
      <c r="C12" s="22">
        <v>300</v>
      </c>
    </row>
    <row r="13" spans="1:10" x14ac:dyDescent="0.3">
      <c r="A13" s="28" t="s">
        <v>208</v>
      </c>
      <c r="B13" s="22">
        <f>B12-B11</f>
        <v>73.300000000000011</v>
      </c>
      <c r="C13" s="22">
        <f>C12-C11</f>
        <v>71.900000000000006</v>
      </c>
    </row>
    <row r="14" spans="1:10" x14ac:dyDescent="0.3">
      <c r="A14" s="28" t="s">
        <v>203</v>
      </c>
      <c r="B14" s="22">
        <v>227.4</v>
      </c>
      <c r="C14" s="22">
        <v>229</v>
      </c>
    </row>
    <row r="15" spans="1:10" x14ac:dyDescent="0.3">
      <c r="A15" s="28" t="s">
        <v>204</v>
      </c>
      <c r="B15" s="22">
        <f>B14-B11</f>
        <v>0.70000000000001705</v>
      </c>
      <c r="C15" s="22">
        <f>C14-C11</f>
        <v>0.90000000000000568</v>
      </c>
    </row>
    <row r="16" spans="1:10" x14ac:dyDescent="0.3">
      <c r="A16" s="28" t="s">
        <v>205</v>
      </c>
      <c r="B16" s="22">
        <f>ROUND(((B15/(B12-B11))*100),3)</f>
        <v>0.95499999999999996</v>
      </c>
      <c r="C16" s="22">
        <f>ROUND(((C15/(C12-C11))*100),3)</f>
        <v>1.252</v>
      </c>
    </row>
    <row r="17" spans="1:10" x14ac:dyDescent="0.3">
      <c r="A17" s="52" t="s">
        <v>296</v>
      </c>
      <c r="B17" s="22">
        <f>100-B16</f>
        <v>99.045000000000002</v>
      </c>
      <c r="C17" s="22">
        <f>100-C16</f>
        <v>98.748000000000005</v>
      </c>
      <c r="D17">
        <f>AVERAGE(B17:C17)</f>
        <v>98.896500000000003</v>
      </c>
    </row>
    <row r="19" spans="1:10" x14ac:dyDescent="0.3">
      <c r="A19" s="11" t="s">
        <v>20</v>
      </c>
      <c r="B19" t="s">
        <v>67</v>
      </c>
      <c r="D19" s="10"/>
      <c r="E19" s="10"/>
      <c r="F19" s="10"/>
      <c r="G19" s="10"/>
    </row>
    <row r="20" spans="1:10" x14ac:dyDescent="0.3">
      <c r="A20" s="11" t="s">
        <v>35</v>
      </c>
      <c r="B20" s="46">
        <v>43845</v>
      </c>
      <c r="D20" s="10"/>
      <c r="E20" s="10"/>
      <c r="F20" s="10"/>
      <c r="G20" s="10"/>
    </row>
    <row r="21" spans="1:10" x14ac:dyDescent="0.3">
      <c r="A21" s="11" t="s">
        <v>163</v>
      </c>
      <c r="B21" t="s">
        <v>164</v>
      </c>
      <c r="D21" s="10"/>
      <c r="E21" s="10"/>
      <c r="F21" s="10"/>
      <c r="G21" s="10"/>
      <c r="J21" s="40"/>
    </row>
    <row r="23" spans="1:10" x14ac:dyDescent="0.3">
      <c r="B23" s="63" t="s">
        <v>206</v>
      </c>
      <c r="C23" s="63" t="s">
        <v>207</v>
      </c>
    </row>
    <row r="24" spans="1:10" x14ac:dyDescent="0.3">
      <c r="A24" s="28" t="s">
        <v>209</v>
      </c>
      <c r="B24" s="22">
        <v>119.2</v>
      </c>
      <c r="C24" s="22">
        <v>228.1</v>
      </c>
    </row>
    <row r="25" spans="1:10" x14ac:dyDescent="0.3">
      <c r="A25" s="28" t="s">
        <v>202</v>
      </c>
      <c r="B25" s="22">
        <v>400</v>
      </c>
      <c r="C25" s="22">
        <v>400</v>
      </c>
    </row>
    <row r="26" spans="1:10" x14ac:dyDescent="0.3">
      <c r="A26" s="28" t="s">
        <v>208</v>
      </c>
      <c r="B26" s="22">
        <f>B25-B24</f>
        <v>280.8</v>
      </c>
      <c r="C26" s="22">
        <f>C25-C24</f>
        <v>171.9</v>
      </c>
    </row>
    <row r="27" spans="1:10" x14ac:dyDescent="0.3">
      <c r="A27" s="28" t="s">
        <v>203</v>
      </c>
      <c r="B27" s="22">
        <v>119.6</v>
      </c>
      <c r="C27" s="22">
        <v>228.9</v>
      </c>
    </row>
    <row r="28" spans="1:10" x14ac:dyDescent="0.3">
      <c r="A28" s="28" t="s">
        <v>204</v>
      </c>
      <c r="B28" s="22">
        <f>B27-B24</f>
        <v>0.39999999999999147</v>
      </c>
      <c r="C28" s="22">
        <f>C27-C24</f>
        <v>0.80000000000001137</v>
      </c>
    </row>
    <row r="29" spans="1:10" x14ac:dyDescent="0.3">
      <c r="A29" s="28" t="s">
        <v>205</v>
      </c>
      <c r="B29" s="22">
        <f>ROUND(((B28/(B25-B24))*100),3)</f>
        <v>0.14199999999999999</v>
      </c>
      <c r="C29" s="22">
        <f>ROUND(((C28/(C25-C24))*100),3)</f>
        <v>0.46500000000000002</v>
      </c>
    </row>
    <row r="30" spans="1:10" x14ac:dyDescent="0.3">
      <c r="A30" s="52" t="s">
        <v>296</v>
      </c>
      <c r="B30" s="22">
        <f>100-B29</f>
        <v>99.858000000000004</v>
      </c>
      <c r="C30" s="22">
        <f>100-C29</f>
        <v>99.534999999999997</v>
      </c>
      <c r="D30">
        <f>AVERAGE(B30:C30)</f>
        <v>99.6965</v>
      </c>
    </row>
    <row r="32" spans="1:10" x14ac:dyDescent="0.3">
      <c r="A32" s="11" t="s">
        <v>21</v>
      </c>
      <c r="B32" t="s">
        <v>17</v>
      </c>
      <c r="D32" s="10"/>
      <c r="E32" s="10"/>
      <c r="F32" s="10"/>
      <c r="G32" s="10"/>
    </row>
    <row r="33" spans="1:10" x14ac:dyDescent="0.3">
      <c r="A33" s="11" t="s">
        <v>35</v>
      </c>
      <c r="B33" s="46">
        <v>43845</v>
      </c>
      <c r="D33" s="10"/>
      <c r="E33" s="10"/>
      <c r="F33" s="10"/>
      <c r="G33" s="10"/>
    </row>
    <row r="34" spans="1:10" x14ac:dyDescent="0.3">
      <c r="A34" s="11" t="s">
        <v>163</v>
      </c>
      <c r="B34" t="s">
        <v>164</v>
      </c>
      <c r="D34" s="10"/>
      <c r="E34" s="10"/>
      <c r="F34" s="10"/>
      <c r="G34" s="10"/>
      <c r="J34" s="40"/>
    </row>
    <row r="36" spans="1:10" x14ac:dyDescent="0.3">
      <c r="B36" s="63" t="s">
        <v>206</v>
      </c>
      <c r="C36" s="63" t="s">
        <v>207</v>
      </c>
    </row>
    <row r="37" spans="1:10" x14ac:dyDescent="0.3">
      <c r="A37" s="28" t="s">
        <v>209</v>
      </c>
      <c r="B37" s="22">
        <v>229.1</v>
      </c>
      <c r="C37" s="22">
        <v>219.1</v>
      </c>
    </row>
    <row r="38" spans="1:10" x14ac:dyDescent="0.3">
      <c r="A38" s="28" t="s">
        <v>202</v>
      </c>
      <c r="B38" s="22">
        <v>500</v>
      </c>
      <c r="C38" s="22">
        <v>515.1</v>
      </c>
    </row>
    <row r="39" spans="1:10" x14ac:dyDescent="0.3">
      <c r="A39" s="28" t="s">
        <v>208</v>
      </c>
      <c r="B39" s="22">
        <f>B38-B37</f>
        <v>270.89999999999998</v>
      </c>
      <c r="C39" s="22">
        <f>C38-C37</f>
        <v>296</v>
      </c>
    </row>
    <row r="40" spans="1:10" x14ac:dyDescent="0.3">
      <c r="A40" s="28" t="s">
        <v>203</v>
      </c>
      <c r="B40" s="22">
        <v>231.2</v>
      </c>
      <c r="C40" s="22">
        <v>222.3</v>
      </c>
    </row>
    <row r="41" spans="1:10" x14ac:dyDescent="0.3">
      <c r="A41" s="28" t="s">
        <v>204</v>
      </c>
      <c r="B41" s="22">
        <f>B40-B37</f>
        <v>2.0999999999999943</v>
      </c>
      <c r="C41" s="22">
        <f>C40-C37</f>
        <v>3.2000000000000171</v>
      </c>
    </row>
    <row r="42" spans="1:10" x14ac:dyDescent="0.3">
      <c r="A42" s="28" t="s">
        <v>205</v>
      </c>
      <c r="B42" s="22">
        <f>ROUND(((B41/(B38-B37))*100),3)</f>
        <v>0.77500000000000002</v>
      </c>
      <c r="C42" s="22">
        <f>ROUND(((C41/(C38-C37))*100),3)</f>
        <v>1.081</v>
      </c>
    </row>
    <row r="43" spans="1:10" x14ac:dyDescent="0.3">
      <c r="A43" s="52" t="s">
        <v>296</v>
      </c>
      <c r="B43" s="22">
        <f>100-B42</f>
        <v>99.224999999999994</v>
      </c>
      <c r="C43" s="22">
        <f>100-C42</f>
        <v>98.918999999999997</v>
      </c>
      <c r="D43">
        <f>AVERAGE(B43:C43)</f>
        <v>99.072000000000003</v>
      </c>
    </row>
    <row r="45" spans="1:10" x14ac:dyDescent="0.3">
      <c r="A45" s="11" t="s">
        <v>25</v>
      </c>
      <c r="B45" t="s">
        <v>2</v>
      </c>
      <c r="D45" s="10"/>
      <c r="E45" s="10"/>
      <c r="F45" s="10"/>
      <c r="G45" s="10"/>
    </row>
    <row r="46" spans="1:10" x14ac:dyDescent="0.3">
      <c r="A46" s="11" t="s">
        <v>35</v>
      </c>
      <c r="B46" s="46">
        <v>43845</v>
      </c>
      <c r="D46" s="10"/>
      <c r="E46" s="10"/>
      <c r="F46" s="10"/>
      <c r="G46" s="10"/>
    </row>
    <row r="47" spans="1:10" x14ac:dyDescent="0.3">
      <c r="A47" s="11" t="s">
        <v>163</v>
      </c>
      <c r="B47" t="s">
        <v>164</v>
      </c>
      <c r="D47" s="10"/>
      <c r="E47" s="10"/>
      <c r="F47" s="10"/>
      <c r="G47" s="10"/>
      <c r="J47" s="40"/>
    </row>
    <row r="49" spans="1:10" x14ac:dyDescent="0.3">
      <c r="B49" s="63" t="s">
        <v>206</v>
      </c>
      <c r="C49" s="63" t="s">
        <v>207</v>
      </c>
    </row>
    <row r="50" spans="1:10" x14ac:dyDescent="0.3">
      <c r="A50" s="28" t="s">
        <v>209</v>
      </c>
      <c r="B50" s="22">
        <v>227.1</v>
      </c>
      <c r="C50" s="22">
        <v>226.6</v>
      </c>
    </row>
    <row r="51" spans="1:10" x14ac:dyDescent="0.3">
      <c r="A51" s="28" t="s">
        <v>202</v>
      </c>
      <c r="B51" s="22">
        <v>427</v>
      </c>
      <c r="C51" s="22">
        <v>426</v>
      </c>
    </row>
    <row r="52" spans="1:10" x14ac:dyDescent="0.3">
      <c r="A52" s="28" t="s">
        <v>208</v>
      </c>
      <c r="B52" s="22">
        <f>B51-B50</f>
        <v>199.9</v>
      </c>
      <c r="C52" s="22">
        <f>C51-C50</f>
        <v>199.4</v>
      </c>
    </row>
    <row r="53" spans="1:10" x14ac:dyDescent="0.3">
      <c r="A53" s="28" t="s">
        <v>203</v>
      </c>
      <c r="B53" s="22">
        <v>228.9</v>
      </c>
      <c r="C53" s="22">
        <v>229.3</v>
      </c>
    </row>
    <row r="54" spans="1:10" x14ac:dyDescent="0.3">
      <c r="A54" s="28" t="s">
        <v>204</v>
      </c>
      <c r="B54" s="22">
        <f>B53-B50</f>
        <v>1.8000000000000114</v>
      </c>
      <c r="C54" s="22">
        <f>C53-C50</f>
        <v>2.7000000000000171</v>
      </c>
    </row>
    <row r="55" spans="1:10" x14ac:dyDescent="0.3">
      <c r="A55" s="28" t="s">
        <v>205</v>
      </c>
      <c r="B55" s="22">
        <f>ROUND(((B54/(B51-B50))*100),3)</f>
        <v>0.9</v>
      </c>
      <c r="C55" s="22">
        <f>ROUND(((C54/(C51-C50))*100),3)</f>
        <v>1.3540000000000001</v>
      </c>
    </row>
    <row r="56" spans="1:10" x14ac:dyDescent="0.3">
      <c r="A56" s="52" t="s">
        <v>296</v>
      </c>
      <c r="B56" s="22">
        <f>100-B55</f>
        <v>99.1</v>
      </c>
      <c r="C56" s="22">
        <f>100-C55</f>
        <v>98.646000000000001</v>
      </c>
      <c r="D56">
        <f>AVERAGE(B56:C56)</f>
        <v>98.87299999999999</v>
      </c>
    </row>
    <row r="58" spans="1:10" x14ac:dyDescent="0.3">
      <c r="A58" s="11" t="s">
        <v>27</v>
      </c>
      <c r="B58" t="s">
        <v>22</v>
      </c>
      <c r="D58" s="10"/>
      <c r="E58" s="10"/>
      <c r="F58" s="10"/>
      <c r="G58" s="10"/>
    </row>
    <row r="59" spans="1:10" x14ac:dyDescent="0.3">
      <c r="A59" s="11" t="s">
        <v>35</v>
      </c>
      <c r="B59" s="46">
        <v>43845</v>
      </c>
      <c r="D59" s="10"/>
      <c r="E59" s="10"/>
      <c r="F59" s="10"/>
      <c r="G59" s="10"/>
    </row>
    <row r="60" spans="1:10" x14ac:dyDescent="0.3">
      <c r="A60" s="11" t="s">
        <v>163</v>
      </c>
      <c r="B60" t="s">
        <v>164</v>
      </c>
      <c r="D60" s="10"/>
      <c r="E60" s="10"/>
      <c r="F60" s="10"/>
      <c r="G60" s="10"/>
      <c r="J60" s="40"/>
    </row>
    <row r="62" spans="1:10" x14ac:dyDescent="0.3">
      <c r="B62" s="63" t="s">
        <v>206</v>
      </c>
      <c r="C62" s="63" t="s">
        <v>207</v>
      </c>
    </row>
    <row r="63" spans="1:10" x14ac:dyDescent="0.3">
      <c r="A63" s="28" t="s">
        <v>209</v>
      </c>
      <c r="B63" s="22">
        <v>301.2</v>
      </c>
      <c r="C63" s="22">
        <v>219.2</v>
      </c>
    </row>
    <row r="64" spans="1:10" x14ac:dyDescent="0.3">
      <c r="A64" s="28" t="s">
        <v>202</v>
      </c>
      <c r="B64" s="22">
        <v>614.20000000000005</v>
      </c>
      <c r="C64" s="22">
        <v>520.29999999999995</v>
      </c>
    </row>
    <row r="65" spans="1:10" x14ac:dyDescent="0.3">
      <c r="A65" s="28" t="s">
        <v>208</v>
      </c>
      <c r="B65" s="22">
        <f>B64-B63</f>
        <v>313.00000000000006</v>
      </c>
      <c r="C65" s="22">
        <f>C64-C63</f>
        <v>301.09999999999997</v>
      </c>
    </row>
    <row r="66" spans="1:10" x14ac:dyDescent="0.3">
      <c r="A66" s="28" t="s">
        <v>203</v>
      </c>
      <c r="B66" s="22">
        <v>301.5</v>
      </c>
      <c r="C66" s="22">
        <v>221.3</v>
      </c>
    </row>
    <row r="67" spans="1:10" x14ac:dyDescent="0.3">
      <c r="A67" s="28" t="s">
        <v>204</v>
      </c>
      <c r="B67" s="22">
        <f>B66-B63</f>
        <v>0.30000000000001137</v>
      </c>
      <c r="C67" s="22">
        <f>C66-C63</f>
        <v>2.1000000000000227</v>
      </c>
    </row>
    <row r="68" spans="1:10" x14ac:dyDescent="0.3">
      <c r="A68" s="28" t="s">
        <v>205</v>
      </c>
      <c r="B68" s="22">
        <f>ROUND(((B67/(B64-B63))*100),3)</f>
        <v>9.6000000000000002E-2</v>
      </c>
      <c r="C68" s="22">
        <f>ROUND(((C67/(C64-C63))*100),3)</f>
        <v>0.69699999999999995</v>
      </c>
    </row>
    <row r="69" spans="1:10" x14ac:dyDescent="0.3">
      <c r="A69" s="52" t="s">
        <v>296</v>
      </c>
      <c r="B69" s="22">
        <f>100-B68</f>
        <v>99.903999999999996</v>
      </c>
      <c r="C69" s="22">
        <f>100-C68</f>
        <v>99.302999999999997</v>
      </c>
      <c r="D69">
        <f>AVERAGE(B69:C69)</f>
        <v>99.603499999999997</v>
      </c>
    </row>
    <row r="71" spans="1:10" x14ac:dyDescent="0.3">
      <c r="B71" s="10"/>
      <c r="C71" s="10"/>
      <c r="D71" s="10"/>
      <c r="E71" s="10"/>
      <c r="F71" s="10"/>
      <c r="G71" s="10"/>
    </row>
    <row r="72" spans="1:10" x14ac:dyDescent="0.3">
      <c r="A72" s="11" t="s">
        <v>30</v>
      </c>
      <c r="B72" t="s">
        <v>80</v>
      </c>
      <c r="D72" s="10"/>
      <c r="E72" s="10"/>
      <c r="F72" s="10"/>
      <c r="G72" s="10"/>
    </row>
    <row r="73" spans="1:10" x14ac:dyDescent="0.3">
      <c r="A73" s="11" t="s">
        <v>35</v>
      </c>
      <c r="B73" s="46">
        <v>43845</v>
      </c>
      <c r="D73" s="10"/>
      <c r="E73" s="10"/>
      <c r="F73" s="10"/>
      <c r="G73" s="10"/>
    </row>
    <row r="74" spans="1:10" x14ac:dyDescent="0.3">
      <c r="A74" s="11" t="s">
        <v>163</v>
      </c>
      <c r="B74" t="s">
        <v>164</v>
      </c>
      <c r="D74" s="10"/>
      <c r="E74" s="10"/>
      <c r="F74" s="10"/>
      <c r="G74" s="10"/>
      <c r="J74" s="40"/>
    </row>
    <row r="76" spans="1:10" x14ac:dyDescent="0.3">
      <c r="B76" s="63" t="s">
        <v>206</v>
      </c>
      <c r="C76" s="63" t="s">
        <v>207</v>
      </c>
    </row>
    <row r="77" spans="1:10" x14ac:dyDescent="0.3">
      <c r="A77" s="28" t="s">
        <v>201</v>
      </c>
      <c r="B77" s="22">
        <v>231.4</v>
      </c>
      <c r="C77" s="22">
        <v>211.4</v>
      </c>
    </row>
    <row r="78" spans="1:10" x14ac:dyDescent="0.3">
      <c r="A78" s="28" t="s">
        <v>202</v>
      </c>
      <c r="B78" s="22">
        <v>501.3</v>
      </c>
      <c r="C78" s="22">
        <v>425.6</v>
      </c>
    </row>
    <row r="79" spans="1:10" x14ac:dyDescent="0.3">
      <c r="A79" s="28" t="s">
        <v>208</v>
      </c>
      <c r="B79" s="22">
        <f>B78-B77</f>
        <v>269.89999999999998</v>
      </c>
      <c r="C79" s="22">
        <f>C78-C77</f>
        <v>214.20000000000002</v>
      </c>
    </row>
    <row r="80" spans="1:10" x14ac:dyDescent="0.3">
      <c r="A80" s="28" t="s">
        <v>203</v>
      </c>
      <c r="B80" s="22">
        <v>233.2</v>
      </c>
      <c r="C80" s="22">
        <v>212.5</v>
      </c>
    </row>
    <row r="81" spans="1:10" x14ac:dyDescent="0.3">
      <c r="A81" s="28" t="s">
        <v>204</v>
      </c>
      <c r="B81" s="22">
        <f>B80-B77</f>
        <v>1.7999999999999829</v>
      </c>
      <c r="C81" s="22">
        <f>C80-C77</f>
        <v>1.0999999999999943</v>
      </c>
    </row>
    <row r="82" spans="1:10" x14ac:dyDescent="0.3">
      <c r="A82" s="28" t="s">
        <v>205</v>
      </c>
      <c r="B82" s="22">
        <f>ROUND(((B81/(B78-B77))*100),3)</f>
        <v>0.66700000000000004</v>
      </c>
      <c r="C82" s="22">
        <f>ROUND(((C81/(C78-C77))*100),3)</f>
        <v>0.51400000000000001</v>
      </c>
    </row>
    <row r="83" spans="1:10" x14ac:dyDescent="0.3">
      <c r="A83" s="52" t="s">
        <v>296</v>
      </c>
      <c r="B83" s="22">
        <f>100-B82</f>
        <v>99.332999999999998</v>
      </c>
      <c r="C83" s="22">
        <f>100-C82</f>
        <v>99.486000000000004</v>
      </c>
      <c r="D83">
        <f>AVERAGE(B83:C83)</f>
        <v>99.409500000000008</v>
      </c>
    </row>
    <row r="85" spans="1:10" x14ac:dyDescent="0.3">
      <c r="A85" s="11" t="s">
        <v>187</v>
      </c>
      <c r="B85" t="s">
        <v>82</v>
      </c>
      <c r="D85" s="10"/>
      <c r="E85" s="10"/>
      <c r="F85" s="10"/>
      <c r="G85" s="10"/>
    </row>
    <row r="86" spans="1:10" x14ac:dyDescent="0.3">
      <c r="A86" s="11" t="s">
        <v>35</v>
      </c>
      <c r="B86" s="46">
        <v>43845</v>
      </c>
      <c r="D86" s="10"/>
      <c r="E86" s="10"/>
      <c r="F86" s="10"/>
      <c r="G86" s="10"/>
    </row>
    <row r="87" spans="1:10" x14ac:dyDescent="0.3">
      <c r="A87" s="11" t="s">
        <v>163</v>
      </c>
      <c r="B87" t="s">
        <v>164</v>
      </c>
      <c r="D87" s="10"/>
      <c r="E87" s="10"/>
      <c r="F87" s="10"/>
      <c r="G87" s="10"/>
      <c r="J87" s="40"/>
    </row>
    <row r="89" spans="1:10" x14ac:dyDescent="0.3">
      <c r="B89" s="63" t="s">
        <v>206</v>
      </c>
      <c r="C89" s="63" t="s">
        <v>207</v>
      </c>
    </row>
    <row r="90" spans="1:10" x14ac:dyDescent="0.3">
      <c r="A90" s="28" t="s">
        <v>201</v>
      </c>
      <c r="B90" s="22">
        <v>228.8</v>
      </c>
      <c r="C90" s="22">
        <v>119.1</v>
      </c>
    </row>
    <row r="91" spans="1:10" x14ac:dyDescent="0.3">
      <c r="A91" s="28" t="s">
        <v>202</v>
      </c>
      <c r="B91" s="22">
        <v>428</v>
      </c>
      <c r="C91" s="22">
        <v>319</v>
      </c>
    </row>
    <row r="92" spans="1:10" x14ac:dyDescent="0.3">
      <c r="A92" s="28" t="s">
        <v>208</v>
      </c>
      <c r="B92" s="22">
        <f>B91-B90</f>
        <v>199.2</v>
      </c>
      <c r="C92" s="22">
        <f>C91-C90</f>
        <v>199.9</v>
      </c>
    </row>
    <row r="93" spans="1:10" x14ac:dyDescent="0.3">
      <c r="A93" s="28" t="s">
        <v>203</v>
      </c>
      <c r="B93" s="22">
        <v>230.1</v>
      </c>
      <c r="C93" s="22">
        <v>122.1</v>
      </c>
    </row>
    <row r="94" spans="1:10" x14ac:dyDescent="0.3">
      <c r="A94" s="28" t="s">
        <v>204</v>
      </c>
      <c r="B94" s="22">
        <f>B93-B90</f>
        <v>1.2999999999999829</v>
      </c>
      <c r="C94" s="22">
        <f>C93-C90</f>
        <v>3</v>
      </c>
    </row>
    <row r="95" spans="1:10" x14ac:dyDescent="0.3">
      <c r="A95" s="28" t="s">
        <v>205</v>
      </c>
      <c r="B95" s="22">
        <f>ROUND(((B94/(B91-B90))*100),3)</f>
        <v>0.65300000000000002</v>
      </c>
      <c r="C95" s="22">
        <f>ROUND(((C94/(C91-C90))*100),3)</f>
        <v>1.5009999999999999</v>
      </c>
    </row>
    <row r="96" spans="1:10" x14ac:dyDescent="0.3">
      <c r="A96" s="52" t="s">
        <v>296</v>
      </c>
      <c r="B96" s="22">
        <f>100-B95</f>
        <v>99.346999999999994</v>
      </c>
      <c r="C96" s="22">
        <f>100-C95</f>
        <v>98.498999999999995</v>
      </c>
      <c r="D96">
        <f>AVERAGE(B96:C96)</f>
        <v>98.923000000000002</v>
      </c>
    </row>
    <row r="98" spans="1:10" x14ac:dyDescent="0.3">
      <c r="A98" s="11" t="s">
        <v>84</v>
      </c>
      <c r="B98" t="s">
        <v>83</v>
      </c>
      <c r="D98" s="10"/>
      <c r="E98" s="10"/>
      <c r="F98" s="10"/>
      <c r="G98" s="10"/>
    </row>
    <row r="99" spans="1:10" x14ac:dyDescent="0.3">
      <c r="A99" s="11" t="s">
        <v>35</v>
      </c>
      <c r="B99" s="46">
        <v>43845</v>
      </c>
      <c r="D99" s="10"/>
      <c r="E99" s="10"/>
      <c r="F99" s="10"/>
      <c r="G99" s="10"/>
    </row>
    <row r="100" spans="1:10" x14ac:dyDescent="0.3">
      <c r="A100" s="11" t="s">
        <v>163</v>
      </c>
      <c r="B100" t="s">
        <v>164</v>
      </c>
      <c r="D100" s="10"/>
      <c r="E100" s="10"/>
      <c r="F100" s="10"/>
      <c r="G100" s="10"/>
      <c r="J100" s="40"/>
    </row>
    <row r="102" spans="1:10" x14ac:dyDescent="0.3">
      <c r="B102" s="63" t="s">
        <v>206</v>
      </c>
      <c r="C102" s="63" t="s">
        <v>207</v>
      </c>
    </row>
    <row r="103" spans="1:10" x14ac:dyDescent="0.3">
      <c r="A103" s="28" t="s">
        <v>201</v>
      </c>
      <c r="B103" s="22">
        <v>209.2</v>
      </c>
      <c r="C103" s="22">
        <v>220.1</v>
      </c>
    </row>
    <row r="104" spans="1:10" x14ac:dyDescent="0.3">
      <c r="A104" s="28" t="s">
        <v>202</v>
      </c>
      <c r="B104" s="22">
        <v>431.3</v>
      </c>
      <c r="C104" s="22">
        <v>495.1</v>
      </c>
    </row>
    <row r="105" spans="1:10" x14ac:dyDescent="0.3">
      <c r="A105" s="28" t="s">
        <v>208</v>
      </c>
      <c r="B105" s="22">
        <f>B104-B103</f>
        <v>222.10000000000002</v>
      </c>
      <c r="C105" s="22">
        <f>C104-C103</f>
        <v>275</v>
      </c>
    </row>
    <row r="106" spans="1:10" x14ac:dyDescent="0.3">
      <c r="A106" s="28" t="s">
        <v>203</v>
      </c>
      <c r="B106" s="22">
        <v>210.5</v>
      </c>
      <c r="C106" s="22">
        <v>222.3</v>
      </c>
    </row>
    <row r="107" spans="1:10" x14ac:dyDescent="0.3">
      <c r="A107" s="28" t="s">
        <v>204</v>
      </c>
      <c r="B107" s="22">
        <f>B106-B103</f>
        <v>1.3000000000000114</v>
      </c>
      <c r="C107" s="22">
        <f>C106-C103</f>
        <v>2.2000000000000171</v>
      </c>
    </row>
    <row r="108" spans="1:10" x14ac:dyDescent="0.3">
      <c r="A108" s="28" t="s">
        <v>205</v>
      </c>
      <c r="B108" s="22">
        <f>ROUND(((B107/(B104-B103))*100),3)</f>
        <v>0.58499999999999996</v>
      </c>
      <c r="C108" s="22">
        <f>ROUND(((C107/(C104-C103))*100),3)</f>
        <v>0.8</v>
      </c>
    </row>
    <row r="109" spans="1:10" x14ac:dyDescent="0.3">
      <c r="A109" s="52" t="s">
        <v>296</v>
      </c>
      <c r="B109" s="22">
        <f>100-B108</f>
        <v>99.415000000000006</v>
      </c>
      <c r="C109" s="22">
        <f>100-C108</f>
        <v>99.2</v>
      </c>
      <c r="D109">
        <f>AVERAGE(B109:C109)</f>
        <v>99.307500000000005</v>
      </c>
    </row>
  </sheetData>
  <mergeCells count="2">
    <mergeCell ref="B3:G3"/>
    <mergeCell ref="B4:G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0">
    <pageSetUpPr fitToPage="1"/>
  </sheetPr>
  <dimension ref="A2:P76"/>
  <sheetViews>
    <sheetView view="pageBreakPreview" zoomScale="73" zoomScaleNormal="175" zoomScaleSheetLayoutView="73" zoomScalePageLayoutView="175" workbookViewId="0">
      <selection activeCell="N23" sqref="N23"/>
    </sheetView>
  </sheetViews>
  <sheetFormatPr defaultColWidth="6.6640625" defaultRowHeight="16.2" customHeight="1" x14ac:dyDescent="0.3"/>
  <cols>
    <col min="1" max="1" width="12.6640625" style="66" customWidth="1"/>
    <col min="2" max="2" width="18.88671875" style="66" customWidth="1"/>
    <col min="3" max="7" width="12.6640625" style="66" customWidth="1"/>
    <col min="8" max="8" width="12.88671875" style="66" customWidth="1"/>
    <col min="9" max="9" width="10.44140625" style="66" customWidth="1"/>
    <col min="10" max="10" width="8" style="66" customWidth="1"/>
    <col min="11" max="13" width="6.6640625" style="66"/>
    <col min="14" max="14" width="8.44140625" style="66" bestFit="1" customWidth="1"/>
    <col min="15" max="16384" width="6.6640625" style="66"/>
  </cols>
  <sheetData>
    <row r="2" spans="1:10" ht="18" customHeight="1" x14ac:dyDescent="0.3">
      <c r="A2" s="182" t="s">
        <v>212</v>
      </c>
      <c r="B2" s="182"/>
      <c r="C2" s="182"/>
      <c r="D2" s="182"/>
      <c r="E2" s="182"/>
      <c r="F2" s="182"/>
      <c r="G2" s="182"/>
      <c r="H2" s="182"/>
      <c r="I2" s="182"/>
      <c r="J2" s="182"/>
    </row>
    <row r="3" spans="1:10" s="67" customFormat="1" ht="18" customHeight="1" x14ac:dyDescent="0.3">
      <c r="A3" s="183" t="s">
        <v>213</v>
      </c>
      <c r="B3" s="183"/>
      <c r="C3" s="183"/>
      <c r="D3" s="183"/>
      <c r="E3" s="183"/>
      <c r="F3" s="183"/>
      <c r="G3" s="183"/>
      <c r="H3" s="183"/>
      <c r="I3" s="183"/>
      <c r="J3" s="183"/>
    </row>
    <row r="4" spans="1:10" ht="40.950000000000003" customHeight="1" x14ac:dyDescent="0.3">
      <c r="A4" s="68" t="s">
        <v>214</v>
      </c>
      <c r="B4" s="185" t="s">
        <v>286</v>
      </c>
      <c r="C4" s="185"/>
      <c r="D4" s="185"/>
      <c r="E4" s="185"/>
      <c r="G4" s="68" t="s">
        <v>215</v>
      </c>
      <c r="H4" s="71"/>
      <c r="I4" s="68"/>
    </row>
    <row r="5" spans="1:10" ht="13.95" customHeight="1" x14ac:dyDescent="0.3">
      <c r="A5" s="68" t="s">
        <v>216</v>
      </c>
      <c r="B5" s="72" t="s">
        <v>287</v>
      </c>
      <c r="C5" s="72"/>
      <c r="D5" s="73"/>
      <c r="G5" s="68" t="s">
        <v>217</v>
      </c>
      <c r="H5" s="72" t="s">
        <v>289</v>
      </c>
      <c r="I5" s="68"/>
    </row>
    <row r="6" spans="1:10" ht="13.95" customHeight="1" x14ac:dyDescent="0.3">
      <c r="A6" s="68" t="s">
        <v>218</v>
      </c>
      <c r="B6" s="72" t="s">
        <v>288</v>
      </c>
      <c r="C6" s="72"/>
      <c r="D6" s="73"/>
      <c r="G6" s="68" t="s">
        <v>219</v>
      </c>
      <c r="H6" s="72"/>
    </row>
    <row r="7" spans="1:10" ht="13.95" customHeight="1" x14ac:dyDescent="0.3">
      <c r="A7" s="74"/>
      <c r="B7" s="75"/>
      <c r="C7" s="76"/>
      <c r="D7" s="76"/>
      <c r="E7" s="74"/>
      <c r="F7" s="75"/>
      <c r="G7" s="77"/>
      <c r="H7" s="77"/>
      <c r="I7" s="74"/>
      <c r="J7" s="74"/>
    </row>
    <row r="8" spans="1:10" ht="13.95" customHeight="1" x14ac:dyDescent="0.3">
      <c r="A8" s="78" t="s">
        <v>220</v>
      </c>
      <c r="B8" s="68"/>
      <c r="D8" s="78" t="s">
        <v>221</v>
      </c>
      <c r="F8" s="68"/>
      <c r="G8" s="79"/>
      <c r="H8" s="78" t="s">
        <v>222</v>
      </c>
    </row>
    <row r="9" spans="1:10" ht="13.95" customHeight="1" x14ac:dyDescent="0.3">
      <c r="A9" s="80" t="s">
        <v>223</v>
      </c>
      <c r="B9" s="70"/>
      <c r="D9" s="81"/>
      <c r="E9" s="82" t="s">
        <v>224</v>
      </c>
      <c r="F9" s="69"/>
      <c r="H9" s="82"/>
      <c r="I9" s="82" t="s">
        <v>224</v>
      </c>
      <c r="J9" s="69"/>
    </row>
    <row r="10" spans="1:10" ht="13.95" customHeight="1" x14ac:dyDescent="0.3">
      <c r="A10" s="80" t="s">
        <v>225</v>
      </c>
      <c r="B10" s="70"/>
      <c r="D10" s="82"/>
      <c r="E10" s="82" t="s">
        <v>226</v>
      </c>
      <c r="F10" s="83">
        <v>187.9</v>
      </c>
      <c r="H10" s="79"/>
      <c r="I10" s="82" t="s">
        <v>227</v>
      </c>
      <c r="J10" s="69"/>
    </row>
    <row r="11" spans="1:10" ht="13.95" customHeight="1" x14ac:dyDescent="0.3">
      <c r="A11" s="80" t="s">
        <v>228</v>
      </c>
      <c r="B11" s="70"/>
      <c r="C11" s="81"/>
      <c r="D11" s="81"/>
      <c r="E11" s="82" t="s">
        <v>229</v>
      </c>
      <c r="F11" s="83">
        <v>32.4</v>
      </c>
      <c r="H11" s="79"/>
      <c r="I11" s="82" t="s">
        <v>230</v>
      </c>
      <c r="J11" s="69"/>
    </row>
    <row r="12" spans="1:10" ht="13.95" customHeight="1" x14ac:dyDescent="0.3">
      <c r="B12" s="68"/>
      <c r="C12" s="81"/>
      <c r="D12" s="81"/>
      <c r="E12" s="82" t="s">
        <v>231</v>
      </c>
      <c r="F12" s="83">
        <v>186.9</v>
      </c>
      <c r="H12" s="79"/>
      <c r="I12" s="82" t="s">
        <v>232</v>
      </c>
      <c r="J12" s="69"/>
    </row>
    <row r="13" spans="1:10" ht="13.95" customHeight="1" x14ac:dyDescent="0.3">
      <c r="A13" s="78" t="s">
        <v>233</v>
      </c>
      <c r="E13" s="82" t="s">
        <v>234</v>
      </c>
      <c r="F13" s="83">
        <f>F12-F11</f>
        <v>154.5</v>
      </c>
      <c r="I13" s="82" t="s">
        <v>235</v>
      </c>
      <c r="J13" s="69"/>
    </row>
    <row r="14" spans="1:10" ht="13.5" customHeight="1" x14ac:dyDescent="0.3">
      <c r="A14" s="78"/>
      <c r="E14" s="82" t="s">
        <v>236</v>
      </c>
      <c r="F14" s="83">
        <f>'Gravemetric Moisture Content'!G10</f>
        <v>103.49948568824536</v>
      </c>
    </row>
    <row r="15" spans="1:10" ht="13.95" customHeight="1" x14ac:dyDescent="0.3">
      <c r="A15" s="74"/>
      <c r="B15" s="75"/>
      <c r="C15" s="74"/>
      <c r="D15" s="74"/>
      <c r="E15" s="74"/>
      <c r="F15" s="74"/>
      <c r="G15" s="74"/>
      <c r="H15" s="74"/>
      <c r="I15" s="74"/>
      <c r="J15" s="74"/>
    </row>
    <row r="16" spans="1:10" ht="13.95" customHeight="1" x14ac:dyDescent="0.3">
      <c r="A16" s="84" t="s">
        <v>237</v>
      </c>
      <c r="B16" s="85"/>
      <c r="C16" s="85"/>
      <c r="D16" s="85"/>
      <c r="E16" s="85"/>
      <c r="F16" s="85"/>
      <c r="G16" s="85"/>
      <c r="H16" s="85"/>
      <c r="I16" s="85"/>
      <c r="J16" s="85"/>
    </row>
    <row r="17" spans="1:15" ht="13.95" customHeight="1" x14ac:dyDescent="0.3">
      <c r="A17" s="78" t="s">
        <v>238</v>
      </c>
      <c r="B17" s="82"/>
      <c r="C17" s="86"/>
      <c r="D17" s="87" t="s">
        <v>297</v>
      </c>
      <c r="E17" s="86"/>
      <c r="G17" s="88" t="s">
        <v>240</v>
      </c>
      <c r="H17" s="86" t="s">
        <v>241</v>
      </c>
      <c r="I17" s="86"/>
      <c r="J17" s="86"/>
    </row>
    <row r="18" spans="1:15" ht="13.95" customHeight="1" x14ac:dyDescent="0.3">
      <c r="A18" s="78" t="s">
        <v>242</v>
      </c>
      <c r="B18" s="88" t="s">
        <v>243</v>
      </c>
      <c r="C18" s="86"/>
      <c r="E18" s="87" t="s">
        <v>244</v>
      </c>
      <c r="F18" s="86"/>
      <c r="G18" s="89">
        <v>5</v>
      </c>
      <c r="H18" s="86"/>
      <c r="I18" s="86"/>
      <c r="J18" s="86"/>
    </row>
    <row r="19" spans="1:15" s="86" customFormat="1" ht="10.95" customHeight="1" x14ac:dyDescent="0.3">
      <c r="A19" s="78"/>
      <c r="B19" s="90" t="s">
        <v>245</v>
      </c>
      <c r="D19" s="87" t="s">
        <v>246</v>
      </c>
      <c r="F19" s="91"/>
      <c r="G19" s="88" t="s">
        <v>247</v>
      </c>
      <c r="H19" s="91"/>
    </row>
    <row r="20" spans="1:15" s="86" customFormat="1" ht="10.95" customHeight="1" x14ac:dyDescent="0.3">
      <c r="A20" s="92"/>
      <c r="B20" s="74"/>
      <c r="C20" s="74"/>
      <c r="D20" s="93"/>
      <c r="E20" s="74"/>
      <c r="F20" s="74"/>
      <c r="G20" s="74"/>
      <c r="H20" s="74"/>
      <c r="I20" s="74"/>
      <c r="J20" s="74"/>
    </row>
    <row r="21" spans="1:15" s="86" customFormat="1" ht="13.95" customHeight="1" x14ac:dyDescent="0.3">
      <c r="A21" s="78" t="s">
        <v>248</v>
      </c>
      <c r="H21" s="87" t="s">
        <v>249</v>
      </c>
    </row>
    <row r="22" spans="1:15" s="86" customFormat="1" ht="13.95" customHeight="1" x14ac:dyDescent="0.3">
      <c r="A22" s="78" t="s">
        <v>250</v>
      </c>
      <c r="B22" s="88" t="s">
        <v>251</v>
      </c>
      <c r="I22" s="82" t="s">
        <v>252</v>
      </c>
    </row>
    <row r="23" spans="1:15" s="86" customFormat="1" ht="13.95" customHeight="1" x14ac:dyDescent="0.3">
      <c r="A23" s="78"/>
      <c r="I23" s="82" t="s">
        <v>253</v>
      </c>
    </row>
    <row r="24" spans="1:15" s="86" customFormat="1" ht="13.95" customHeight="1" x14ac:dyDescent="0.3">
      <c r="A24" s="78" t="s">
        <v>254</v>
      </c>
      <c r="I24" s="82" t="s">
        <v>255</v>
      </c>
    </row>
    <row r="25" spans="1:15" s="86" customFormat="1" ht="13.95" customHeight="1" x14ac:dyDescent="0.3">
      <c r="A25" s="78" t="s">
        <v>256</v>
      </c>
      <c r="B25" s="94">
        <v>43844</v>
      </c>
      <c r="C25" s="82"/>
      <c r="D25" s="87"/>
      <c r="E25" s="82"/>
      <c r="F25" s="95"/>
      <c r="I25" s="82" t="s">
        <v>257</v>
      </c>
    </row>
    <row r="26" spans="1:15" s="86" customFormat="1" ht="13.95" customHeight="1" x14ac:dyDescent="0.3">
      <c r="A26" s="78" t="s">
        <v>258</v>
      </c>
      <c r="B26" s="149">
        <v>43844.333333333336</v>
      </c>
      <c r="F26" s="82"/>
      <c r="I26" s="82" t="s">
        <v>259</v>
      </c>
    </row>
    <row r="27" spans="1:15" s="86" customFormat="1" ht="13.95" customHeight="1" x14ac:dyDescent="0.3">
      <c r="A27" s="78"/>
      <c r="F27" s="82"/>
      <c r="H27" s="82" t="s">
        <v>260</v>
      </c>
      <c r="N27" s="86">
        <f>4+(0.01248*29)+(0.00795*29^2)</f>
        <v>11.04787</v>
      </c>
      <c r="O27" s="87" t="s">
        <v>6</v>
      </c>
    </row>
    <row r="28" spans="1:15" s="86" customFormat="1" ht="13.95" customHeight="1" x14ac:dyDescent="0.3">
      <c r="A28" s="78"/>
      <c r="B28" s="87"/>
      <c r="G28" s="87" t="s">
        <v>261</v>
      </c>
      <c r="I28" s="88" t="s">
        <v>262</v>
      </c>
      <c r="J28" s="86">
        <v>2.659222466597329</v>
      </c>
      <c r="O28" s="87" t="s">
        <v>263</v>
      </c>
    </row>
    <row r="29" spans="1:15" s="86" customFormat="1" ht="10.95" customHeight="1" thickBot="1" x14ac:dyDescent="0.35"/>
    <row r="30" spans="1:15" s="97" customFormat="1" ht="54" customHeight="1" x14ac:dyDescent="0.3">
      <c r="B30" s="98" t="s">
        <v>264</v>
      </c>
      <c r="C30" s="99" t="s">
        <v>265</v>
      </c>
      <c r="D30" s="100" t="s">
        <v>266</v>
      </c>
      <c r="E30" s="101" t="s">
        <v>267</v>
      </c>
      <c r="F30" s="101" t="s">
        <v>268</v>
      </c>
      <c r="G30" s="101" t="s">
        <v>269</v>
      </c>
      <c r="H30" s="102" t="s">
        <v>270</v>
      </c>
      <c r="J30" s="103"/>
      <c r="K30" s="104"/>
      <c r="L30" s="104"/>
    </row>
    <row r="31" spans="1:15" s="87" customFormat="1" ht="13.95" customHeight="1" x14ac:dyDescent="0.3">
      <c r="B31" s="105">
        <v>0.1</v>
      </c>
      <c r="C31" s="106">
        <v>51</v>
      </c>
      <c r="D31" s="107">
        <v>27</v>
      </c>
      <c r="E31" s="108">
        <f>$N$27+(((0.01248*D31)-((0.00795)*D31^2)))</f>
        <v>5.5892799999999996</v>
      </c>
      <c r="F31" s="109">
        <f t="shared" ref="F31:F39" si="0">7.8+(((18.8-7.8)/(60+5))*(60-C31+$N$31))-($N$32/$N$33)</f>
        <v>7.6272107029495437</v>
      </c>
      <c r="G31" s="110">
        <f>(SQRT(((18*0.01)/(0.99652*980.7*($J$28-1))*(F31/(B31*60)))*10))</f>
        <v>3.7564714480581025E-2</v>
      </c>
      <c r="H31" s="111">
        <f>0.6226*($J$28/($J$28-1))*((50/$F$14)*(C31-E31))*(100/1000)</f>
        <v>2.189018180148643</v>
      </c>
      <c r="I31" s="111">
        <f>0.6226*($J$28/($J$28-1))*((50/$F$13)*(C31-E31))*(100/1000)</f>
        <v>1.4664223676867534</v>
      </c>
      <c r="J31" s="103"/>
      <c r="K31" s="112"/>
      <c r="L31" s="112"/>
      <c r="N31" s="87">
        <v>1</v>
      </c>
      <c r="O31" s="90" t="s">
        <v>271</v>
      </c>
    </row>
    <row r="32" spans="1:15" s="87" customFormat="1" ht="13.95" customHeight="1" x14ac:dyDescent="0.3">
      <c r="B32" s="113">
        <v>1</v>
      </c>
      <c r="C32" s="114">
        <v>51</v>
      </c>
      <c r="D32" s="107">
        <v>27</v>
      </c>
      <c r="E32" s="108">
        <f t="shared" ref="E32:E39" si="1">$N$27+(((0.01248*D32)-((0.00795)*D32^2)))</f>
        <v>5.5892799999999996</v>
      </c>
      <c r="F32" s="109">
        <f t="shared" si="0"/>
        <v>7.6272107029495437</v>
      </c>
      <c r="G32" s="110">
        <f t="shared" ref="G32:G39" si="2">(SQRT(((18*0.01)/(0.99652*980.7*($J$28-1))*(F32/(B32*60)))*10))</f>
        <v>1.18790057412545E-2</v>
      </c>
      <c r="H32" s="111">
        <f t="shared" ref="H32:H39" si="3">0.6226*($J$28/($J$28-1))*((50/$F$14)*(C32-E32))*(100/1000)</f>
        <v>2.189018180148643</v>
      </c>
      <c r="I32" s="111">
        <f t="shared" ref="I32:I39" si="4">0.6226*($J$28/($J$28-1))*((50/$F$13)*(C32-E32))*(100/1000)</f>
        <v>1.4664223676867534</v>
      </c>
      <c r="J32" s="103"/>
      <c r="K32" s="112"/>
      <c r="L32" s="112"/>
      <c r="N32" s="87">
        <v>60</v>
      </c>
      <c r="O32" s="90" t="s">
        <v>272</v>
      </c>
    </row>
    <row r="33" spans="1:16" s="87" customFormat="1" ht="13.95" customHeight="1" x14ac:dyDescent="0.3">
      <c r="B33" s="113">
        <v>2</v>
      </c>
      <c r="C33" s="114">
        <v>42</v>
      </c>
      <c r="D33" s="107">
        <v>27</v>
      </c>
      <c r="E33" s="108">
        <f t="shared" si="1"/>
        <v>5.5892799999999996</v>
      </c>
      <c r="F33" s="109">
        <f t="shared" si="0"/>
        <v>9.1502876260264667</v>
      </c>
      <c r="G33" s="110">
        <f t="shared" si="2"/>
        <v>9.2002492919634801E-3</v>
      </c>
      <c r="H33" s="111">
        <f t="shared" si="3"/>
        <v>1.7551742855497954</v>
      </c>
      <c r="I33" s="111">
        <f t="shared" si="4"/>
        <v>1.1757905232856785</v>
      </c>
      <c r="J33" s="103"/>
      <c r="K33" s="112"/>
      <c r="L33" s="112"/>
      <c r="N33" s="87">
        <f>(PI()*6.4^2)/4</f>
        <v>32.169908772759484</v>
      </c>
      <c r="O33" s="90" t="s">
        <v>273</v>
      </c>
    </row>
    <row r="34" spans="1:16" s="87" customFormat="1" ht="13.95" customHeight="1" x14ac:dyDescent="0.3">
      <c r="B34" s="113">
        <v>4</v>
      </c>
      <c r="C34" s="114">
        <v>40</v>
      </c>
      <c r="D34" s="107">
        <v>27</v>
      </c>
      <c r="E34" s="108">
        <f t="shared" si="1"/>
        <v>5.5892799999999996</v>
      </c>
      <c r="F34" s="109">
        <f t="shared" si="0"/>
        <v>9.4887491644880058</v>
      </c>
      <c r="G34" s="110">
        <f t="shared" si="2"/>
        <v>6.6247837699566648E-3</v>
      </c>
      <c r="H34" s="111">
        <f t="shared" si="3"/>
        <v>1.6587645311944959</v>
      </c>
      <c r="I34" s="111">
        <f t="shared" si="4"/>
        <v>1.1112056689743286</v>
      </c>
      <c r="J34" s="103"/>
      <c r="K34" s="112"/>
      <c r="L34" s="112"/>
      <c r="O34" s="90"/>
    </row>
    <row r="35" spans="1:16" s="87" customFormat="1" ht="13.95" customHeight="1" x14ac:dyDescent="0.3">
      <c r="B35" s="113">
        <v>15</v>
      </c>
      <c r="C35" s="114">
        <v>42</v>
      </c>
      <c r="D35" s="107">
        <v>27</v>
      </c>
      <c r="E35" s="108">
        <f t="shared" si="1"/>
        <v>5.5892799999999996</v>
      </c>
      <c r="F35" s="109">
        <f t="shared" si="0"/>
        <v>9.1502876260264667</v>
      </c>
      <c r="G35" s="110">
        <f t="shared" si="2"/>
        <v>3.359456047919554E-3</v>
      </c>
      <c r="H35" s="111">
        <f t="shared" si="3"/>
        <v>1.7551742855497954</v>
      </c>
      <c r="I35" s="111">
        <f t="shared" si="4"/>
        <v>1.1757905232856785</v>
      </c>
      <c r="J35" s="103"/>
      <c r="K35" s="112"/>
      <c r="L35" s="112"/>
      <c r="O35" s="90" t="s">
        <v>274</v>
      </c>
      <c r="P35" s="90"/>
    </row>
    <row r="36" spans="1:16" s="87" customFormat="1" ht="13.95" customHeight="1" x14ac:dyDescent="0.3">
      <c r="B36" s="113">
        <v>30</v>
      </c>
      <c r="C36" s="106">
        <v>35</v>
      </c>
      <c r="D36" s="107">
        <v>27</v>
      </c>
      <c r="E36" s="108">
        <f t="shared" si="1"/>
        <v>5.5892799999999996</v>
      </c>
      <c r="F36" s="109">
        <f t="shared" si="0"/>
        <v>10.334903010641851</v>
      </c>
      <c r="G36" s="110">
        <f t="shared" si="2"/>
        <v>2.5245838258358857E-3</v>
      </c>
      <c r="H36" s="111">
        <f t="shared" si="3"/>
        <v>1.4177401453062473</v>
      </c>
      <c r="I36" s="111">
        <f t="shared" si="4"/>
        <v>0.94974353319595373</v>
      </c>
      <c r="J36" s="103"/>
      <c r="K36" s="112"/>
      <c r="L36" s="112"/>
      <c r="P36" s="90"/>
    </row>
    <row r="37" spans="1:16" s="87" customFormat="1" ht="13.95" customHeight="1" x14ac:dyDescent="0.3">
      <c r="B37" s="113">
        <v>60</v>
      </c>
      <c r="C37" s="106">
        <v>32</v>
      </c>
      <c r="D37" s="107">
        <v>27</v>
      </c>
      <c r="E37" s="108">
        <f t="shared" si="1"/>
        <v>5.5892799999999996</v>
      </c>
      <c r="F37" s="109">
        <f t="shared" si="0"/>
        <v>10.84259531833416</v>
      </c>
      <c r="G37" s="110">
        <f t="shared" si="2"/>
        <v>1.8284716008159594E-3</v>
      </c>
      <c r="H37" s="111">
        <f t="shared" si="3"/>
        <v>1.273125513773298</v>
      </c>
      <c r="I37" s="111">
        <f t="shared" si="4"/>
        <v>0.8528662517289286</v>
      </c>
      <c r="J37" s="103"/>
      <c r="K37" s="112"/>
      <c r="L37" s="112"/>
      <c r="N37" s="95">
        <v>1000</v>
      </c>
      <c r="O37" s="90" t="s">
        <v>275</v>
      </c>
      <c r="P37" s="90"/>
    </row>
    <row r="38" spans="1:16" s="87" customFormat="1" ht="13.95" customHeight="1" x14ac:dyDescent="0.3">
      <c r="B38" s="113">
        <v>240</v>
      </c>
      <c r="C38" s="106">
        <v>28</v>
      </c>
      <c r="D38" s="107">
        <v>27</v>
      </c>
      <c r="E38" s="108">
        <f t="shared" si="1"/>
        <v>5.5892799999999996</v>
      </c>
      <c r="F38" s="109">
        <f t="shared" si="0"/>
        <v>11.519518395257236</v>
      </c>
      <c r="G38" s="110">
        <f t="shared" si="2"/>
        <v>9.4234246152823098E-4</v>
      </c>
      <c r="H38" s="111">
        <f t="shared" si="3"/>
        <v>1.0803060050626989</v>
      </c>
      <c r="I38" s="111">
        <f t="shared" si="4"/>
        <v>0.72369654310622877</v>
      </c>
      <c r="J38" s="103"/>
      <c r="K38" s="112"/>
      <c r="L38" s="112"/>
      <c r="O38" s="90" t="s">
        <v>276</v>
      </c>
    </row>
    <row r="39" spans="1:16" s="86" customFormat="1" ht="13.95" customHeight="1" x14ac:dyDescent="0.3">
      <c r="B39" s="113">
        <v>1440</v>
      </c>
      <c r="C39" s="106">
        <v>23</v>
      </c>
      <c r="D39" s="107">
        <v>27</v>
      </c>
      <c r="E39" s="108">
        <f t="shared" si="1"/>
        <v>5.5892799999999996</v>
      </c>
      <c r="F39" s="109">
        <f t="shared" si="0"/>
        <v>12.365672241411081</v>
      </c>
      <c r="G39" s="110">
        <f t="shared" si="2"/>
        <v>3.9858856917532933E-4</v>
      </c>
      <c r="H39" s="111">
        <f t="shared" si="3"/>
        <v>0.83928161917445032</v>
      </c>
      <c r="I39" s="111">
        <f t="shared" si="4"/>
        <v>0.56223440732785379</v>
      </c>
      <c r="J39" s="103"/>
      <c r="N39" s="86">
        <v>0.99651999999999996</v>
      </c>
      <c r="O39" s="90" t="s">
        <v>277</v>
      </c>
    </row>
    <row r="40" spans="1:16" s="86" customFormat="1" ht="13.95" customHeight="1" x14ac:dyDescent="0.3">
      <c r="B40" s="113"/>
      <c r="C40" s="106"/>
      <c r="D40" s="111"/>
      <c r="E40" s="108"/>
      <c r="F40" s="109"/>
      <c r="G40" s="110"/>
      <c r="H40" s="111"/>
      <c r="J40" s="103"/>
      <c r="O40" s="90" t="s">
        <v>278</v>
      </c>
    </row>
    <row r="41" spans="1:16" s="86" customFormat="1" ht="13.95" customHeight="1" thickBot="1" x14ac:dyDescent="0.35">
      <c r="B41" s="115"/>
      <c r="C41" s="116"/>
      <c r="D41" s="111"/>
      <c r="E41" s="108"/>
      <c r="F41" s="117"/>
      <c r="G41" s="118"/>
      <c r="H41" s="111"/>
      <c r="J41" s="119"/>
    </row>
    <row r="42" spans="1:16" s="86" customFormat="1" ht="13.95" customHeight="1" x14ac:dyDescent="0.3">
      <c r="A42" s="120"/>
      <c r="B42" s="77"/>
      <c r="C42" s="121"/>
      <c r="D42" s="121"/>
      <c r="E42" s="77"/>
      <c r="F42" s="122"/>
      <c r="G42" s="123"/>
      <c r="H42" s="77"/>
      <c r="I42" s="124"/>
      <c r="J42" s="125"/>
    </row>
    <row r="43" spans="1:16" s="86" customFormat="1" ht="13.95" customHeight="1" thickBot="1" x14ac:dyDescent="0.35">
      <c r="A43" s="126"/>
      <c r="B43" s="127"/>
      <c r="C43" s="128"/>
      <c r="D43" s="128"/>
      <c r="E43" s="127"/>
      <c r="F43" s="129"/>
      <c r="G43" s="130"/>
      <c r="H43" s="127"/>
      <c r="I43" s="131"/>
      <c r="J43" s="132"/>
    </row>
    <row r="44" spans="1:16" s="86" customFormat="1" ht="13.95" customHeight="1" x14ac:dyDescent="0.3">
      <c r="A44" s="133"/>
      <c r="C44" s="97"/>
      <c r="D44" s="97"/>
      <c r="E44" s="97"/>
      <c r="F44" s="97"/>
      <c r="G44" s="97"/>
      <c r="H44" s="134"/>
      <c r="I44" s="134"/>
      <c r="J44" s="103"/>
    </row>
    <row r="45" spans="1:16" s="86" customFormat="1" ht="13.95" customHeight="1" x14ac:dyDescent="0.3">
      <c r="A45" s="133"/>
      <c r="C45" s="97"/>
      <c r="D45" s="97"/>
      <c r="E45" s="97"/>
      <c r="F45" s="97"/>
      <c r="G45" s="97"/>
      <c r="H45" s="134"/>
      <c r="I45" s="134"/>
      <c r="J45" s="103"/>
    </row>
    <row r="46" spans="1:16" s="86" customFormat="1" ht="13.95" customHeight="1" x14ac:dyDescent="0.3">
      <c r="A46" s="97" t="s">
        <v>279</v>
      </c>
      <c r="B46" s="97" t="s">
        <v>280</v>
      </c>
      <c r="C46" s="135">
        <f t="shared" ref="C46:C50" si="5">J53</f>
        <v>100</v>
      </c>
      <c r="D46" s="135" t="e">
        <f>#REF!</f>
        <v>#REF!</v>
      </c>
      <c r="F46" s="97"/>
      <c r="G46" s="97">
        <v>9</v>
      </c>
      <c r="H46" s="134"/>
    </row>
    <row r="47" spans="1:16" s="86" customFormat="1" ht="13.95" customHeight="1" x14ac:dyDescent="0.3">
      <c r="A47" s="97"/>
      <c r="B47" s="97"/>
      <c r="C47" s="135">
        <f t="shared" si="5"/>
        <v>98.896500000000003</v>
      </c>
      <c r="D47" s="135" t="e">
        <f>#REF!</f>
        <v>#REF!</v>
      </c>
      <c r="F47" s="97"/>
      <c r="G47" s="97"/>
      <c r="H47" s="184" t="s">
        <v>281</v>
      </c>
      <c r="I47" s="184"/>
      <c r="J47" s="136"/>
    </row>
    <row r="48" spans="1:16" s="86" customFormat="1" ht="13.95" customHeight="1" thickBot="1" x14ac:dyDescent="0.35">
      <c r="A48" s="97">
        <v>4</v>
      </c>
      <c r="B48" s="97">
        <v>4.75</v>
      </c>
      <c r="C48" s="135">
        <f t="shared" si="5"/>
        <v>2.189018180148643</v>
      </c>
      <c r="D48" s="135" t="e">
        <f>#REF!</f>
        <v>#REF!</v>
      </c>
      <c r="F48" s="97"/>
      <c r="G48" s="97"/>
      <c r="H48" s="134"/>
      <c r="I48" s="136"/>
      <c r="J48" s="136"/>
    </row>
    <row r="49" spans="1:10" s="86" customFormat="1" ht="13.95" customHeight="1" thickBot="1" x14ac:dyDescent="0.35">
      <c r="A49" s="97">
        <v>10</v>
      </c>
      <c r="B49" s="97">
        <v>2</v>
      </c>
      <c r="C49" s="135">
        <f t="shared" si="5"/>
        <v>0</v>
      </c>
      <c r="D49" s="135" t="e">
        <f>#REF!</f>
        <v>#REF!</v>
      </c>
      <c r="F49" s="97"/>
      <c r="G49" s="97"/>
      <c r="H49" s="137" t="s">
        <v>279</v>
      </c>
      <c r="I49" s="137" t="s">
        <v>269</v>
      </c>
      <c r="J49" s="137" t="s">
        <v>282</v>
      </c>
    </row>
    <row r="50" spans="1:10" s="86" customFormat="1" ht="13.95" customHeight="1" x14ac:dyDescent="0.3">
      <c r="A50" s="97">
        <v>40</v>
      </c>
      <c r="B50" s="97">
        <v>0.42499999999999999</v>
      </c>
      <c r="C50" s="135">
        <f t="shared" si="5"/>
        <v>0</v>
      </c>
      <c r="D50" s="135" t="e">
        <f>#REF!</f>
        <v>#REF!</v>
      </c>
      <c r="F50" s="97"/>
      <c r="G50" s="97"/>
      <c r="H50" s="138">
        <v>4</v>
      </c>
      <c r="I50" s="138">
        <v>4.75</v>
      </c>
      <c r="J50" s="138">
        <v>100</v>
      </c>
    </row>
    <row r="51" spans="1:10" s="86" customFormat="1" ht="13.95" customHeight="1" x14ac:dyDescent="0.3">
      <c r="A51" s="97">
        <v>200</v>
      </c>
      <c r="B51" s="97">
        <v>7.4999999999999997E-2</v>
      </c>
      <c r="C51" s="135">
        <f t="shared" ref="C51:C59" si="6">G31</f>
        <v>3.7564714480581025E-2</v>
      </c>
      <c r="D51" s="139" t="e">
        <f>#REF!</f>
        <v>#REF!</v>
      </c>
      <c r="F51" s="97"/>
      <c r="G51" s="97"/>
      <c r="H51" s="140">
        <v>10</v>
      </c>
      <c r="I51" s="140">
        <v>2</v>
      </c>
      <c r="J51" s="140">
        <v>100</v>
      </c>
    </row>
    <row r="52" spans="1:10" s="86" customFormat="1" ht="13.95" customHeight="1" x14ac:dyDescent="0.3">
      <c r="A52" s="133"/>
      <c r="B52" s="141"/>
      <c r="C52" s="135">
        <f t="shared" si="6"/>
        <v>1.18790057412545E-2</v>
      </c>
      <c r="D52" s="139" t="e">
        <f>#REF!</f>
        <v>#REF!</v>
      </c>
      <c r="E52" s="97"/>
      <c r="F52" s="97"/>
      <c r="G52" s="97"/>
      <c r="H52" s="140">
        <v>40</v>
      </c>
      <c r="I52" s="140">
        <v>0.42499999999999999</v>
      </c>
      <c r="J52" s="140">
        <v>100</v>
      </c>
    </row>
    <row r="53" spans="1:10" s="86" customFormat="1" ht="13.95" customHeight="1" x14ac:dyDescent="0.3">
      <c r="A53" s="142"/>
      <c r="B53" s="143"/>
      <c r="C53" s="135">
        <f t="shared" si="6"/>
        <v>9.2002492919634801E-3</v>
      </c>
      <c r="D53" s="139" t="e">
        <f>#REF!</f>
        <v>#REF!</v>
      </c>
      <c r="E53" s="97"/>
      <c r="F53" s="97"/>
      <c r="G53" s="97"/>
      <c r="H53" s="140">
        <v>100</v>
      </c>
      <c r="I53" s="140">
        <v>0.15</v>
      </c>
      <c r="J53" s="140">
        <v>100</v>
      </c>
    </row>
    <row r="54" spans="1:10" s="86" customFormat="1" ht="13.95" customHeight="1" thickBot="1" x14ac:dyDescent="0.35">
      <c r="A54" s="133"/>
      <c r="B54" s="141"/>
      <c r="C54" s="135">
        <f t="shared" si="6"/>
        <v>6.6247837699566648E-3</v>
      </c>
      <c r="D54" s="139" t="e">
        <f>#REF!</f>
        <v>#REF!</v>
      </c>
      <c r="E54" s="97"/>
      <c r="F54" s="97"/>
      <c r="G54" s="97"/>
      <c r="H54" s="144">
        <v>200</v>
      </c>
      <c r="I54" s="144">
        <v>7.4999999999999997E-2</v>
      </c>
      <c r="J54" s="144">
        <f>'Sieve Analysis'!D17</f>
        <v>98.896500000000003</v>
      </c>
    </row>
    <row r="55" spans="1:10" s="86" customFormat="1" ht="13.95" customHeight="1" x14ac:dyDescent="0.3">
      <c r="A55" s="133"/>
      <c r="B55" s="141"/>
      <c r="C55" s="135">
        <f t="shared" si="6"/>
        <v>3.359456047919554E-3</v>
      </c>
      <c r="D55" s="139" t="e">
        <f>#REF!</f>
        <v>#REF!</v>
      </c>
      <c r="E55" s="97"/>
      <c r="F55" s="97"/>
      <c r="G55" s="97"/>
      <c r="H55" s="134" t="s">
        <v>300</v>
      </c>
      <c r="I55" s="86">
        <v>3.7564714480581025E-2</v>
      </c>
      <c r="J55" s="86">
        <v>2.189018180148643</v>
      </c>
    </row>
    <row r="56" spans="1:10" s="86" customFormat="1" ht="13.95" customHeight="1" x14ac:dyDescent="0.3">
      <c r="A56" s="133"/>
      <c r="B56" s="96"/>
      <c r="C56" s="135">
        <f t="shared" si="6"/>
        <v>2.5245838258358857E-3</v>
      </c>
      <c r="D56" s="139" t="e">
        <f>#REF!</f>
        <v>#REF!</v>
      </c>
      <c r="E56" s="97"/>
      <c r="F56" s="97"/>
      <c r="G56" s="97"/>
      <c r="H56" s="134"/>
      <c r="I56" s="134"/>
      <c r="J56" s="134"/>
    </row>
    <row r="57" spans="1:10" s="86" customFormat="1" ht="13.95" customHeight="1" x14ac:dyDescent="0.3">
      <c r="A57" s="133"/>
      <c r="B57" s="141"/>
      <c r="C57" s="135">
        <f t="shared" si="6"/>
        <v>1.8284716008159594E-3</v>
      </c>
      <c r="D57" s="139" t="e">
        <f>#REF!</f>
        <v>#REF!</v>
      </c>
      <c r="E57" s="97"/>
      <c r="F57" s="97"/>
      <c r="G57" s="97"/>
      <c r="H57" s="134"/>
      <c r="I57" s="134"/>
      <c r="J57" s="134"/>
    </row>
    <row r="58" spans="1:10" s="86" customFormat="1" ht="13.95" customHeight="1" x14ac:dyDescent="0.3">
      <c r="B58" s="145"/>
      <c r="C58" s="135">
        <f t="shared" si="6"/>
        <v>9.4234246152823098E-4</v>
      </c>
      <c r="D58" s="139" t="e">
        <f>#REF!</f>
        <v>#REF!</v>
      </c>
      <c r="E58" s="97"/>
      <c r="F58" s="97"/>
      <c r="G58" s="97"/>
      <c r="H58" s="134"/>
      <c r="I58" s="134"/>
      <c r="J58" s="134"/>
    </row>
    <row r="59" spans="1:10" s="86" customFormat="1" ht="13.95" customHeight="1" x14ac:dyDescent="0.3">
      <c r="C59" s="135">
        <f t="shared" si="6"/>
        <v>3.9858856917532933E-4</v>
      </c>
      <c r="D59" s="139" t="e">
        <f>#REF!</f>
        <v>#REF!</v>
      </c>
      <c r="E59" s="97"/>
      <c r="F59" s="97"/>
      <c r="G59" s="97"/>
      <c r="H59" s="134"/>
      <c r="I59" s="134"/>
      <c r="J59" s="134"/>
    </row>
    <row r="60" spans="1:10" s="86" customFormat="1" ht="13.95" customHeight="1" x14ac:dyDescent="0.3">
      <c r="B60" s="145"/>
      <c r="C60" s="135">
        <f>G41</f>
        <v>0</v>
      </c>
      <c r="D60" s="139" t="e">
        <f>#REF!</f>
        <v>#REF!</v>
      </c>
      <c r="E60" s="97"/>
      <c r="F60" s="97"/>
      <c r="G60" s="97"/>
      <c r="H60" s="134"/>
      <c r="I60" s="134"/>
      <c r="J60" s="134"/>
    </row>
    <row r="61" spans="1:10" s="86" customFormat="1" ht="13.95" customHeight="1" x14ac:dyDescent="0.3">
      <c r="B61" s="145"/>
      <c r="C61" s="135">
        <f t="shared" ref="C61:C62" si="7">G42</f>
        <v>0</v>
      </c>
      <c r="D61" s="139" t="e">
        <f>#REF!</f>
        <v>#REF!</v>
      </c>
      <c r="E61" s="97"/>
      <c r="F61" s="97"/>
      <c r="G61" s="97"/>
      <c r="H61" s="134"/>
      <c r="I61" s="134"/>
      <c r="J61" s="134"/>
    </row>
    <row r="62" spans="1:10" s="86" customFormat="1" ht="13.95" customHeight="1" x14ac:dyDescent="0.3">
      <c r="C62" s="135">
        <f t="shared" si="7"/>
        <v>0</v>
      </c>
      <c r="D62" s="139" t="e">
        <f>#REF!</f>
        <v>#REF!</v>
      </c>
      <c r="E62" s="97"/>
      <c r="F62" s="97"/>
      <c r="G62" s="97"/>
      <c r="H62" s="134"/>
      <c r="I62" s="134"/>
      <c r="J62" s="134"/>
    </row>
    <row r="63" spans="1:10" s="86" customFormat="1" ht="13.95" customHeight="1" x14ac:dyDescent="0.3"/>
    <row r="64" spans="1:10" s="86" customFormat="1" ht="13.95" customHeight="1" x14ac:dyDescent="0.3">
      <c r="A64" s="146"/>
    </row>
    <row r="65" spans="1:12" s="86" customFormat="1" ht="13.95" customHeight="1" x14ac:dyDescent="0.3"/>
    <row r="66" spans="1:12" s="86" customFormat="1" ht="13.95" customHeight="1" x14ac:dyDescent="0.3"/>
    <row r="67" spans="1:12" s="86" customFormat="1" ht="13.95" customHeight="1" x14ac:dyDescent="0.3"/>
    <row r="68" spans="1:12" s="86" customFormat="1" ht="13.95" customHeight="1" x14ac:dyDescent="0.3">
      <c r="A68" s="147"/>
      <c r="B68" s="68" t="s">
        <v>283</v>
      </c>
      <c r="D68" s="68" t="s">
        <v>284</v>
      </c>
      <c r="H68" s="68" t="s">
        <v>285</v>
      </c>
    </row>
    <row r="69" spans="1:12" s="86" customFormat="1" ht="18" customHeight="1" x14ac:dyDescent="0.3">
      <c r="I69" s="66"/>
      <c r="J69" s="66"/>
      <c r="K69" s="66"/>
      <c r="L69" s="66"/>
    </row>
    <row r="70" spans="1:12" s="86" customFormat="1" ht="18" customHeight="1" x14ac:dyDescent="0.3">
      <c r="A70" s="147"/>
      <c r="I70" s="66"/>
      <c r="J70" s="66"/>
      <c r="K70" s="66"/>
      <c r="L70" s="66"/>
    </row>
    <row r="71" spans="1:12" s="86" customFormat="1" ht="18" customHeight="1" x14ac:dyDescent="0.3">
      <c r="I71" s="66"/>
      <c r="J71" s="66"/>
      <c r="K71" s="66"/>
      <c r="L71" s="66"/>
    </row>
    <row r="72" spans="1:12" ht="18" customHeight="1" x14ac:dyDescent="0.3"/>
    <row r="73" spans="1:12" ht="18" customHeight="1" x14ac:dyDescent="0.3"/>
    <row r="74" spans="1:12" ht="18" customHeight="1" x14ac:dyDescent="0.3"/>
    <row r="75" spans="1:12" ht="18" customHeight="1" x14ac:dyDescent="0.3"/>
    <row r="76" spans="1:12" ht="18" customHeight="1" x14ac:dyDescent="0.3"/>
  </sheetData>
  <mergeCells count="4">
    <mergeCell ref="A2:J2"/>
    <mergeCell ref="A3:J3"/>
    <mergeCell ref="H47:I47"/>
    <mergeCell ref="B4:E4"/>
  </mergeCells>
  <printOptions horizontalCentered="1"/>
  <pageMargins left="0.5" right="0.5" top="0.5" bottom="0.5" header="0" footer="0"/>
  <pageSetup scale="70" orientation="portrait" horizontalDpi="4294967292" verticalDpi="4294967292" r:id="rId1"/>
  <headerFooter>
    <oddFooter>&amp;L&amp;K000000_x000D_14.333 Geotechnical Laboratory&amp;C&amp;K000000_x000D_Revised 01/12&amp;R&amp;K000000_x000D___ of __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2">
    <pageSetUpPr fitToPage="1"/>
  </sheetPr>
  <dimension ref="A2:P76"/>
  <sheetViews>
    <sheetView view="pageBreakPreview" zoomScale="130" zoomScaleNormal="175" zoomScaleSheetLayoutView="130" zoomScalePageLayoutView="175" workbookViewId="0">
      <selection activeCell="L11" sqref="L11"/>
    </sheetView>
  </sheetViews>
  <sheetFormatPr defaultColWidth="6.6640625" defaultRowHeight="16.2" customHeight="1" x14ac:dyDescent="0.3"/>
  <cols>
    <col min="1" max="1" width="12.6640625" style="66" customWidth="1"/>
    <col min="2" max="2" width="18.88671875" style="66" customWidth="1"/>
    <col min="3" max="7" width="12.6640625" style="66" customWidth="1"/>
    <col min="8" max="8" width="12.88671875" style="66" customWidth="1"/>
    <col min="9" max="9" width="10.44140625" style="66" customWidth="1"/>
    <col min="10" max="10" width="8" style="66" customWidth="1"/>
    <col min="11" max="13" width="6.6640625" style="66"/>
    <col min="14" max="14" width="8.44140625" style="66" bestFit="1" customWidth="1"/>
    <col min="15" max="16384" width="6.6640625" style="66"/>
  </cols>
  <sheetData>
    <row r="2" spans="1:10" ht="18" customHeight="1" x14ac:dyDescent="0.3">
      <c r="A2" s="182" t="s">
        <v>212</v>
      </c>
      <c r="B2" s="182"/>
      <c r="C2" s="182"/>
      <c r="D2" s="182"/>
      <c r="E2" s="182"/>
      <c r="F2" s="182"/>
      <c r="G2" s="182"/>
      <c r="H2" s="182"/>
      <c r="I2" s="182"/>
      <c r="J2" s="182"/>
    </row>
    <row r="3" spans="1:10" s="67" customFormat="1" ht="18" customHeight="1" x14ac:dyDescent="0.3">
      <c r="A3" s="183" t="s">
        <v>213</v>
      </c>
      <c r="B3" s="183"/>
      <c r="C3" s="183"/>
      <c r="D3" s="183"/>
      <c r="E3" s="183"/>
      <c r="F3" s="183"/>
      <c r="G3" s="183"/>
      <c r="H3" s="183"/>
      <c r="I3" s="183"/>
      <c r="J3" s="183"/>
    </row>
    <row r="4" spans="1:10" ht="40.950000000000003" customHeight="1" x14ac:dyDescent="0.3">
      <c r="A4" s="68" t="s">
        <v>214</v>
      </c>
      <c r="B4" s="185" t="s">
        <v>286</v>
      </c>
      <c r="C4" s="185"/>
      <c r="D4" s="185"/>
      <c r="E4" s="185"/>
      <c r="G4" s="68" t="s">
        <v>215</v>
      </c>
      <c r="H4" s="71"/>
      <c r="I4" s="68"/>
    </row>
    <row r="5" spans="1:10" ht="13.95" customHeight="1" x14ac:dyDescent="0.3">
      <c r="A5" s="68" t="s">
        <v>216</v>
      </c>
      <c r="B5" s="72" t="s">
        <v>287</v>
      </c>
      <c r="C5" s="72"/>
      <c r="D5" s="73"/>
      <c r="G5" s="68" t="s">
        <v>217</v>
      </c>
      <c r="H5" s="72" t="s">
        <v>289</v>
      </c>
      <c r="I5" s="68"/>
    </row>
    <row r="6" spans="1:10" ht="13.95" customHeight="1" x14ac:dyDescent="0.3">
      <c r="A6" s="68" t="s">
        <v>218</v>
      </c>
      <c r="B6" s="72" t="s">
        <v>291</v>
      </c>
      <c r="C6" s="72"/>
      <c r="D6" s="73"/>
      <c r="G6" s="68" t="s">
        <v>219</v>
      </c>
      <c r="H6" s="72"/>
    </row>
    <row r="7" spans="1:10" ht="13.95" customHeight="1" x14ac:dyDescent="0.3">
      <c r="A7" s="74"/>
      <c r="B7" s="75"/>
      <c r="C7" s="76"/>
      <c r="D7" s="76"/>
      <c r="E7" s="74"/>
      <c r="F7" s="75"/>
      <c r="G7" s="77"/>
      <c r="H7" s="77"/>
      <c r="I7" s="74"/>
      <c r="J7" s="74"/>
    </row>
    <row r="8" spans="1:10" ht="13.95" customHeight="1" x14ac:dyDescent="0.3">
      <c r="A8" s="78" t="s">
        <v>220</v>
      </c>
      <c r="B8" s="68"/>
      <c r="D8" s="78" t="s">
        <v>221</v>
      </c>
      <c r="F8" s="68"/>
      <c r="G8" s="79"/>
      <c r="H8" s="78" t="s">
        <v>222</v>
      </c>
    </row>
    <row r="9" spans="1:10" ht="13.95" customHeight="1" x14ac:dyDescent="0.3">
      <c r="A9" s="80" t="s">
        <v>223</v>
      </c>
      <c r="B9" s="70"/>
      <c r="D9" s="81"/>
      <c r="E9" s="82" t="s">
        <v>224</v>
      </c>
      <c r="F9" s="69"/>
      <c r="H9" s="82"/>
      <c r="I9" s="82" t="s">
        <v>224</v>
      </c>
      <c r="J9" s="69"/>
    </row>
    <row r="10" spans="1:10" ht="13.95" customHeight="1" x14ac:dyDescent="0.3">
      <c r="A10" s="80" t="s">
        <v>225</v>
      </c>
      <c r="B10" s="70"/>
      <c r="D10" s="82"/>
      <c r="E10" s="82" t="s">
        <v>226</v>
      </c>
      <c r="F10" s="83">
        <v>187.9</v>
      </c>
      <c r="H10" s="79"/>
      <c r="I10" s="82" t="s">
        <v>227</v>
      </c>
      <c r="J10" s="69"/>
    </row>
    <row r="11" spans="1:10" ht="13.95" customHeight="1" x14ac:dyDescent="0.3">
      <c r="A11" s="80" t="s">
        <v>228</v>
      </c>
      <c r="B11" s="70"/>
      <c r="C11" s="81"/>
      <c r="D11" s="81"/>
      <c r="E11" s="82" t="s">
        <v>229</v>
      </c>
      <c r="F11" s="83">
        <v>32.4</v>
      </c>
      <c r="H11" s="79"/>
      <c r="I11" s="82" t="s">
        <v>230</v>
      </c>
      <c r="J11" s="69"/>
    </row>
    <row r="12" spans="1:10" ht="13.95" customHeight="1" x14ac:dyDescent="0.3">
      <c r="B12" s="68"/>
      <c r="C12" s="81"/>
      <c r="D12" s="81"/>
      <c r="E12" s="82" t="s">
        <v>231</v>
      </c>
      <c r="F12" s="83">
        <v>186.9</v>
      </c>
      <c r="H12" s="79"/>
      <c r="I12" s="82" t="s">
        <v>232</v>
      </c>
      <c r="J12" s="69"/>
    </row>
    <row r="13" spans="1:10" ht="13.95" customHeight="1" x14ac:dyDescent="0.3">
      <c r="A13" s="78" t="s">
        <v>233</v>
      </c>
      <c r="E13" s="82" t="s">
        <v>234</v>
      </c>
      <c r="F13" s="83">
        <f>F12-F11</f>
        <v>154.5</v>
      </c>
      <c r="I13" s="82" t="s">
        <v>235</v>
      </c>
      <c r="J13" s="69"/>
    </row>
    <row r="14" spans="1:10" ht="13.5" customHeight="1" x14ac:dyDescent="0.3">
      <c r="A14" s="78"/>
      <c r="E14" s="82" t="s">
        <v>236</v>
      </c>
      <c r="F14" s="83">
        <f>'Gravemetric Moisture Content'!G22</f>
        <v>79.010426634274097</v>
      </c>
    </row>
    <row r="15" spans="1:10" ht="13.95" customHeight="1" x14ac:dyDescent="0.3">
      <c r="A15" s="74"/>
      <c r="B15" s="75"/>
      <c r="C15" s="74"/>
      <c r="D15" s="74"/>
      <c r="E15" s="74"/>
      <c r="F15" s="74"/>
      <c r="G15" s="74"/>
      <c r="H15" s="74"/>
      <c r="I15" s="74"/>
      <c r="J15" s="74"/>
    </row>
    <row r="16" spans="1:10" ht="13.95" customHeight="1" x14ac:dyDescent="0.3">
      <c r="A16" s="84" t="s">
        <v>237</v>
      </c>
      <c r="B16" s="85"/>
      <c r="C16" s="85"/>
      <c r="D16" s="85"/>
      <c r="E16" s="85"/>
      <c r="F16" s="85"/>
      <c r="G16" s="85"/>
      <c r="H16" s="85"/>
      <c r="I16" s="85"/>
      <c r="J16" s="85"/>
    </row>
    <row r="17" spans="1:15" ht="13.95" customHeight="1" x14ac:dyDescent="0.3">
      <c r="A17" s="78" t="s">
        <v>238</v>
      </c>
      <c r="B17" s="82"/>
      <c r="C17" s="86"/>
      <c r="D17" s="87" t="s">
        <v>239</v>
      </c>
      <c r="E17" s="86"/>
      <c r="G17" s="88" t="s">
        <v>240</v>
      </c>
      <c r="H17" s="86" t="s">
        <v>241</v>
      </c>
      <c r="I17" s="86"/>
      <c r="J17" s="86"/>
    </row>
    <row r="18" spans="1:15" ht="13.95" customHeight="1" x14ac:dyDescent="0.3">
      <c r="A18" s="78" t="s">
        <v>242</v>
      </c>
      <c r="B18" s="88" t="s">
        <v>243</v>
      </c>
      <c r="C18" s="86"/>
      <c r="E18" s="87" t="s">
        <v>244</v>
      </c>
      <c r="F18" s="86"/>
      <c r="G18" s="89">
        <v>5</v>
      </c>
      <c r="H18" s="86"/>
      <c r="I18" s="86"/>
      <c r="J18" s="86"/>
    </row>
    <row r="19" spans="1:15" s="86" customFormat="1" ht="10.95" customHeight="1" x14ac:dyDescent="0.3">
      <c r="A19" s="78"/>
      <c r="B19" s="90" t="s">
        <v>245</v>
      </c>
      <c r="D19" s="87" t="s">
        <v>246</v>
      </c>
      <c r="F19" s="91"/>
      <c r="G19" s="88" t="s">
        <v>247</v>
      </c>
      <c r="H19" s="91"/>
    </row>
    <row r="20" spans="1:15" s="86" customFormat="1" ht="10.95" customHeight="1" x14ac:dyDescent="0.3">
      <c r="A20" s="92"/>
      <c r="B20" s="74"/>
      <c r="C20" s="74"/>
      <c r="D20" s="93"/>
      <c r="E20" s="74"/>
      <c r="F20" s="74"/>
      <c r="G20" s="74"/>
      <c r="H20" s="74"/>
      <c r="I20" s="74"/>
      <c r="J20" s="74"/>
    </row>
    <row r="21" spans="1:15" s="86" customFormat="1" ht="13.95" customHeight="1" x14ac:dyDescent="0.3">
      <c r="A21" s="78" t="s">
        <v>248</v>
      </c>
      <c r="H21" s="87" t="s">
        <v>249</v>
      </c>
    </row>
    <row r="22" spans="1:15" s="86" customFormat="1" ht="13.95" customHeight="1" x14ac:dyDescent="0.3">
      <c r="A22" s="78" t="s">
        <v>250</v>
      </c>
      <c r="B22" s="88" t="s">
        <v>251</v>
      </c>
      <c r="I22" s="82" t="s">
        <v>252</v>
      </c>
    </row>
    <row r="23" spans="1:15" s="86" customFormat="1" ht="13.95" customHeight="1" x14ac:dyDescent="0.3">
      <c r="A23" s="78"/>
      <c r="I23" s="82" t="s">
        <v>253</v>
      </c>
    </row>
    <row r="24" spans="1:15" s="86" customFormat="1" ht="13.95" customHeight="1" x14ac:dyDescent="0.3">
      <c r="A24" s="78" t="s">
        <v>254</v>
      </c>
      <c r="I24" s="82" t="s">
        <v>255</v>
      </c>
    </row>
    <row r="25" spans="1:15" s="86" customFormat="1" ht="13.95" customHeight="1" x14ac:dyDescent="0.3">
      <c r="A25" s="78" t="s">
        <v>256</v>
      </c>
      <c r="B25" s="94">
        <v>43844</v>
      </c>
      <c r="C25" s="82"/>
      <c r="D25" s="87"/>
      <c r="E25" s="82"/>
      <c r="F25" s="95"/>
      <c r="I25" s="82" t="s">
        <v>257</v>
      </c>
    </row>
    <row r="26" spans="1:15" s="86" customFormat="1" ht="13.95" customHeight="1" x14ac:dyDescent="0.3">
      <c r="A26" s="78" t="s">
        <v>258</v>
      </c>
      <c r="B26" s="149">
        <v>43844.333333333336</v>
      </c>
      <c r="F26" s="82"/>
      <c r="I26" s="82" t="s">
        <v>259</v>
      </c>
    </row>
    <row r="27" spans="1:15" s="86" customFormat="1" ht="13.95" customHeight="1" x14ac:dyDescent="0.3">
      <c r="A27" s="78"/>
      <c r="F27" s="82"/>
      <c r="H27" s="82" t="s">
        <v>260</v>
      </c>
      <c r="N27" s="86">
        <f>4+(0.01248*29)+(0.00795*29^2)</f>
        <v>11.04787</v>
      </c>
      <c r="O27" s="87" t="s">
        <v>6</v>
      </c>
    </row>
    <row r="28" spans="1:15" s="86" customFormat="1" ht="13.95" customHeight="1" x14ac:dyDescent="0.3">
      <c r="A28" s="78"/>
      <c r="B28" s="87"/>
      <c r="G28" s="87" t="s">
        <v>261</v>
      </c>
      <c r="I28" s="88" t="s">
        <v>262</v>
      </c>
      <c r="J28" s="86">
        <f>'Specific Gravity Tests'!B73</f>
        <v>2.6505698989185964</v>
      </c>
      <c r="O28" s="87" t="s">
        <v>263</v>
      </c>
    </row>
    <row r="29" spans="1:15" s="86" customFormat="1" ht="10.95" customHeight="1" thickBot="1" x14ac:dyDescent="0.35"/>
    <row r="30" spans="1:15" s="97" customFormat="1" ht="54" customHeight="1" x14ac:dyDescent="0.3">
      <c r="B30" s="98" t="s">
        <v>264</v>
      </c>
      <c r="C30" s="99" t="s">
        <v>265</v>
      </c>
      <c r="D30" s="100" t="s">
        <v>266</v>
      </c>
      <c r="E30" s="101" t="s">
        <v>267</v>
      </c>
      <c r="F30" s="101" t="s">
        <v>268</v>
      </c>
      <c r="G30" s="101" t="s">
        <v>269</v>
      </c>
      <c r="H30" s="102" t="s">
        <v>270</v>
      </c>
      <c r="J30" s="103"/>
      <c r="K30" s="104"/>
      <c r="L30" s="104"/>
    </row>
    <row r="31" spans="1:15" s="87" customFormat="1" ht="13.95" customHeight="1" x14ac:dyDescent="0.3">
      <c r="B31" s="105">
        <v>0.1</v>
      </c>
      <c r="C31" s="106">
        <v>38</v>
      </c>
      <c r="D31" s="107">
        <v>27</v>
      </c>
      <c r="E31" s="108">
        <f t="shared" ref="E31:E39" si="0">$N$27+(((0.01248*D31)-((0.00795)*D31^2)))</f>
        <v>5.5892799999999996</v>
      </c>
      <c r="F31" s="109">
        <f t="shared" ref="F31:F39" si="1">7.8+(((18.8-7.8)/(60+5))*(60-C31+$N$31))-($N$32/$N$33)</f>
        <v>9.8272107029495448</v>
      </c>
      <c r="G31" s="110">
        <f>(SQRT(((18*0.01)/(0.99821*980.7*($J$28-1))*(F31/(B31*60)))*10))</f>
        <v>4.2714935517782049E-2</v>
      </c>
      <c r="H31" s="111">
        <f>0.6226*($J$28/($J$28-1))*((50/$F$14)*(C31-E31))*(100/1000)</f>
        <v>2.0506367378905952</v>
      </c>
      <c r="J31" s="103"/>
      <c r="K31" s="112"/>
      <c r="L31" s="112"/>
      <c r="N31" s="87">
        <v>1</v>
      </c>
      <c r="O31" s="90" t="s">
        <v>271</v>
      </c>
    </row>
    <row r="32" spans="1:15" s="87" customFormat="1" ht="13.95" customHeight="1" x14ac:dyDescent="0.3">
      <c r="B32" s="113">
        <v>1</v>
      </c>
      <c r="C32" s="114">
        <v>38</v>
      </c>
      <c r="D32" s="107">
        <v>27</v>
      </c>
      <c r="E32" s="108">
        <f t="shared" si="0"/>
        <v>5.5892799999999996</v>
      </c>
      <c r="F32" s="109">
        <f t="shared" si="1"/>
        <v>9.8272107029495448</v>
      </c>
      <c r="G32" s="110">
        <f t="shared" ref="G32:G39" si="2">(SQRT(((18*0.01)/(0.99821*980.7*($J$28-1))*(F32/(B32*60)))*10))</f>
        <v>1.3507648634341502E-2</v>
      </c>
      <c r="H32" s="111">
        <f t="shared" ref="H32:H39" si="3">0.6226*($J$28/($J$28-1))*((50/$F$14)*(C32-E32))*(100/1000)</f>
        <v>2.0506367378905952</v>
      </c>
      <c r="J32" s="103"/>
      <c r="K32" s="112"/>
      <c r="L32" s="112"/>
      <c r="N32" s="87">
        <v>60</v>
      </c>
      <c r="O32" s="90" t="s">
        <v>272</v>
      </c>
    </row>
    <row r="33" spans="1:16" s="87" customFormat="1" ht="13.95" customHeight="1" x14ac:dyDescent="0.3">
      <c r="B33" s="113">
        <v>2</v>
      </c>
      <c r="C33" s="114">
        <v>36</v>
      </c>
      <c r="D33" s="107">
        <v>27</v>
      </c>
      <c r="E33" s="108">
        <f t="shared" si="0"/>
        <v>5.5892799999999996</v>
      </c>
      <c r="F33" s="109">
        <f t="shared" si="1"/>
        <v>10.165672241411082</v>
      </c>
      <c r="G33" s="110">
        <f t="shared" si="2"/>
        <v>9.7144378688188929E-3</v>
      </c>
      <c r="H33" s="111">
        <f t="shared" si="3"/>
        <v>1.9240960909755875</v>
      </c>
      <c r="J33" s="103"/>
      <c r="K33" s="112"/>
      <c r="L33" s="112"/>
      <c r="N33" s="87">
        <f>(PI()*6.4^2)/4</f>
        <v>32.169908772759484</v>
      </c>
      <c r="O33" s="90" t="s">
        <v>273</v>
      </c>
    </row>
    <row r="34" spans="1:16" s="87" customFormat="1" ht="13.95" customHeight="1" x14ac:dyDescent="0.3">
      <c r="B34" s="113">
        <v>4</v>
      </c>
      <c r="C34" s="114">
        <v>36</v>
      </c>
      <c r="D34" s="107">
        <v>27</v>
      </c>
      <c r="E34" s="108">
        <f t="shared" si="0"/>
        <v>5.5892799999999996</v>
      </c>
      <c r="F34" s="109">
        <f t="shared" si="1"/>
        <v>10.165672241411082</v>
      </c>
      <c r="G34" s="110">
        <f t="shared" si="2"/>
        <v>6.869144892457232E-3</v>
      </c>
      <c r="H34" s="111">
        <f t="shared" si="3"/>
        <v>1.9240960909755875</v>
      </c>
      <c r="J34" s="103"/>
      <c r="K34" s="112"/>
      <c r="L34" s="112"/>
      <c r="O34" s="90"/>
    </row>
    <row r="35" spans="1:16" s="87" customFormat="1" ht="13.95" customHeight="1" x14ac:dyDescent="0.3">
      <c r="B35" s="113">
        <v>15</v>
      </c>
      <c r="C35" s="114">
        <v>33</v>
      </c>
      <c r="D35" s="107">
        <v>27</v>
      </c>
      <c r="E35" s="108">
        <f t="shared" si="0"/>
        <v>5.5892799999999996</v>
      </c>
      <c r="F35" s="109">
        <f t="shared" si="1"/>
        <v>10.67336454910339</v>
      </c>
      <c r="G35" s="110">
        <f t="shared" si="2"/>
        <v>3.6347091409764921E-3</v>
      </c>
      <c r="H35" s="111">
        <f t="shared" si="3"/>
        <v>1.7342851206030752</v>
      </c>
      <c r="J35" s="103"/>
      <c r="K35" s="112"/>
      <c r="L35" s="112"/>
      <c r="O35" s="90" t="s">
        <v>274</v>
      </c>
      <c r="P35" s="90"/>
    </row>
    <row r="36" spans="1:16" s="87" customFormat="1" ht="13.95" customHeight="1" x14ac:dyDescent="0.3">
      <c r="B36" s="113">
        <v>30</v>
      </c>
      <c r="C36" s="106">
        <v>32</v>
      </c>
      <c r="D36" s="107">
        <v>27</v>
      </c>
      <c r="E36" s="108">
        <f t="shared" si="0"/>
        <v>5.5892799999999996</v>
      </c>
      <c r="F36" s="109">
        <f t="shared" si="1"/>
        <v>10.84259531833416</v>
      </c>
      <c r="G36" s="110">
        <f t="shared" si="2"/>
        <v>2.5904225870515135E-3</v>
      </c>
      <c r="H36" s="111">
        <f t="shared" si="3"/>
        <v>1.6710147971455713</v>
      </c>
      <c r="J36" s="103"/>
      <c r="K36" s="112"/>
      <c r="L36" s="112"/>
      <c r="P36" s="90"/>
    </row>
    <row r="37" spans="1:16" s="87" customFormat="1" ht="13.95" customHeight="1" x14ac:dyDescent="0.3">
      <c r="B37" s="113">
        <v>60</v>
      </c>
      <c r="C37" s="106">
        <v>29</v>
      </c>
      <c r="D37" s="107">
        <v>27</v>
      </c>
      <c r="E37" s="108">
        <f t="shared" si="0"/>
        <v>5.5892799999999996</v>
      </c>
      <c r="F37" s="109">
        <f t="shared" si="1"/>
        <v>11.350287626026466</v>
      </c>
      <c r="G37" s="110">
        <f t="shared" si="2"/>
        <v>1.8740985711508773E-3</v>
      </c>
      <c r="H37" s="111">
        <f t="shared" si="3"/>
        <v>1.4812038267730592</v>
      </c>
      <c r="J37" s="103"/>
      <c r="K37" s="112"/>
      <c r="L37" s="112"/>
      <c r="N37" s="95">
        <v>1000</v>
      </c>
      <c r="O37" s="90" t="s">
        <v>275</v>
      </c>
      <c r="P37" s="90"/>
    </row>
    <row r="38" spans="1:16" s="87" customFormat="1" ht="13.95" customHeight="1" x14ac:dyDescent="0.3">
      <c r="B38" s="113">
        <v>240</v>
      </c>
      <c r="C38" s="106">
        <v>25</v>
      </c>
      <c r="D38" s="107">
        <v>27</v>
      </c>
      <c r="E38" s="108">
        <f t="shared" si="0"/>
        <v>5.5892799999999996</v>
      </c>
      <c r="F38" s="109">
        <f t="shared" si="1"/>
        <v>12.027210702949544</v>
      </c>
      <c r="G38" s="110">
        <f t="shared" si="2"/>
        <v>9.6458712332077648E-4</v>
      </c>
      <c r="H38" s="111">
        <f t="shared" si="3"/>
        <v>1.2281225329430432</v>
      </c>
      <c r="J38" s="103"/>
      <c r="K38" s="112"/>
      <c r="L38" s="112"/>
      <c r="O38" s="90" t="s">
        <v>276</v>
      </c>
    </row>
    <row r="39" spans="1:16" s="86" customFormat="1" ht="13.95" customHeight="1" x14ac:dyDescent="0.3">
      <c r="B39" s="113">
        <v>1440</v>
      </c>
      <c r="C39" s="106">
        <v>21</v>
      </c>
      <c r="D39" s="107">
        <v>27</v>
      </c>
      <c r="E39" s="108">
        <f t="shared" si="0"/>
        <v>5.5892799999999996</v>
      </c>
      <c r="F39" s="109">
        <f t="shared" si="1"/>
        <v>12.704133779872622</v>
      </c>
      <c r="G39" s="110">
        <f t="shared" si="2"/>
        <v>4.0472115366736592E-4</v>
      </c>
      <c r="H39" s="111">
        <f t="shared" si="3"/>
        <v>0.97504123911302687</v>
      </c>
      <c r="J39" s="103"/>
      <c r="O39" s="90" t="s">
        <v>277</v>
      </c>
    </row>
    <row r="40" spans="1:16" s="86" customFormat="1" ht="13.95" customHeight="1" x14ac:dyDescent="0.3">
      <c r="B40" s="113"/>
      <c r="C40" s="106"/>
      <c r="D40" s="111"/>
      <c r="E40" s="108"/>
      <c r="F40" s="109"/>
      <c r="G40" s="110"/>
      <c r="H40" s="111"/>
      <c r="J40" s="103"/>
      <c r="O40" s="90" t="s">
        <v>278</v>
      </c>
    </row>
    <row r="41" spans="1:16" s="86" customFormat="1" ht="13.95" customHeight="1" thickBot="1" x14ac:dyDescent="0.35">
      <c r="B41" s="115"/>
      <c r="C41" s="116"/>
      <c r="D41" s="111"/>
      <c r="E41" s="108"/>
      <c r="F41" s="117"/>
      <c r="G41" s="118"/>
      <c r="H41" s="111"/>
      <c r="J41" s="119"/>
    </row>
    <row r="42" spans="1:16" s="86" customFormat="1" ht="13.95" customHeight="1" x14ac:dyDescent="0.3">
      <c r="A42" s="120"/>
      <c r="B42" s="77"/>
      <c r="C42" s="121"/>
      <c r="D42" s="121"/>
      <c r="E42" s="77"/>
      <c r="F42" s="122"/>
      <c r="G42" s="123"/>
      <c r="H42" s="77"/>
      <c r="I42" s="124"/>
      <c r="J42" s="125"/>
    </row>
    <row r="43" spans="1:16" s="86" customFormat="1" ht="13.95" customHeight="1" thickBot="1" x14ac:dyDescent="0.35">
      <c r="A43" s="126"/>
      <c r="B43" s="127"/>
      <c r="C43" s="128"/>
      <c r="D43" s="128"/>
      <c r="E43" s="127"/>
      <c r="F43" s="129"/>
      <c r="G43" s="130"/>
      <c r="H43" s="127"/>
      <c r="I43" s="131"/>
      <c r="J43" s="132"/>
    </row>
    <row r="44" spans="1:16" s="86" customFormat="1" ht="13.95" customHeight="1" x14ac:dyDescent="0.3">
      <c r="A44" s="133"/>
      <c r="C44" s="97"/>
      <c r="D44" s="97"/>
      <c r="E44" s="97"/>
      <c r="F44" s="97"/>
      <c r="G44" s="97"/>
      <c r="H44" s="134"/>
      <c r="I44" s="134"/>
      <c r="J44" s="103"/>
    </row>
    <row r="45" spans="1:16" s="86" customFormat="1" ht="13.95" customHeight="1" x14ac:dyDescent="0.3">
      <c r="A45" s="133"/>
      <c r="C45" s="97"/>
      <c r="D45" s="97"/>
      <c r="E45" s="97"/>
      <c r="F45" s="97"/>
      <c r="G45" s="97"/>
      <c r="H45" s="134"/>
      <c r="I45" s="134"/>
      <c r="J45" s="103"/>
    </row>
    <row r="46" spans="1:16" s="86" customFormat="1" ht="13.95" customHeight="1" x14ac:dyDescent="0.3">
      <c r="A46" s="97" t="s">
        <v>279</v>
      </c>
      <c r="B46" s="97" t="s">
        <v>280</v>
      </c>
      <c r="C46" s="135">
        <f t="shared" ref="C46:C50" si="4">J53</f>
        <v>100</v>
      </c>
      <c r="D46" s="135" t="e">
        <f>#REF!</f>
        <v>#REF!</v>
      </c>
      <c r="F46" s="97"/>
      <c r="G46" s="97">
        <v>9</v>
      </c>
      <c r="H46" s="134"/>
    </row>
    <row r="47" spans="1:16" s="86" customFormat="1" ht="13.95" customHeight="1" x14ac:dyDescent="0.3">
      <c r="A47" s="97"/>
      <c r="B47" s="97"/>
      <c r="C47" s="135">
        <f t="shared" si="4"/>
        <v>99.6965</v>
      </c>
      <c r="D47" s="135" t="e">
        <f>#REF!</f>
        <v>#REF!</v>
      </c>
      <c r="F47" s="97"/>
      <c r="G47" s="97"/>
      <c r="H47" s="184" t="s">
        <v>281</v>
      </c>
      <c r="I47" s="184"/>
      <c r="J47" s="136"/>
    </row>
    <row r="48" spans="1:16" s="86" customFormat="1" ht="13.95" customHeight="1" thickBot="1" x14ac:dyDescent="0.35">
      <c r="A48" s="97">
        <v>4</v>
      </c>
      <c r="B48" s="97">
        <v>4.75</v>
      </c>
      <c r="C48" s="135">
        <f t="shared" si="4"/>
        <v>1.5654346729865267</v>
      </c>
      <c r="D48" s="135" t="e">
        <f>#REF!</f>
        <v>#REF!</v>
      </c>
      <c r="F48" s="97"/>
      <c r="G48" s="97"/>
      <c r="H48" s="134"/>
      <c r="I48" s="136"/>
      <c r="J48" s="136"/>
    </row>
    <row r="49" spans="1:10" s="86" customFormat="1" ht="13.95" customHeight="1" thickBot="1" x14ac:dyDescent="0.35">
      <c r="A49" s="97">
        <v>10</v>
      </c>
      <c r="B49" s="97">
        <v>2</v>
      </c>
      <c r="C49" s="135">
        <f t="shared" si="4"/>
        <v>0</v>
      </c>
      <c r="D49" s="135" t="e">
        <f>#REF!</f>
        <v>#REF!</v>
      </c>
      <c r="F49" s="97"/>
      <c r="G49" s="97"/>
      <c r="H49" s="137" t="s">
        <v>279</v>
      </c>
      <c r="I49" s="137" t="s">
        <v>269</v>
      </c>
      <c r="J49" s="137" t="s">
        <v>282</v>
      </c>
    </row>
    <row r="50" spans="1:10" s="86" customFormat="1" ht="13.95" customHeight="1" x14ac:dyDescent="0.3">
      <c r="A50" s="97">
        <v>40</v>
      </c>
      <c r="B50" s="97">
        <v>0.42499999999999999</v>
      </c>
      <c r="C50" s="135">
        <f t="shared" si="4"/>
        <v>0</v>
      </c>
      <c r="D50" s="135" t="e">
        <f>#REF!</f>
        <v>#REF!</v>
      </c>
      <c r="F50" s="97"/>
      <c r="G50" s="97"/>
      <c r="H50" s="138">
        <v>4</v>
      </c>
      <c r="I50" s="138">
        <v>4.75</v>
      </c>
      <c r="J50" s="138">
        <v>100</v>
      </c>
    </row>
    <row r="51" spans="1:10" s="86" customFormat="1" ht="13.95" customHeight="1" x14ac:dyDescent="0.3">
      <c r="A51" s="97">
        <v>200</v>
      </c>
      <c r="B51" s="97">
        <v>7.4999999999999997E-2</v>
      </c>
      <c r="C51" s="135">
        <f t="shared" ref="C51:C59" si="5">G31</f>
        <v>4.2714935517782049E-2</v>
      </c>
      <c r="D51" s="139" t="e">
        <f>#REF!</f>
        <v>#REF!</v>
      </c>
      <c r="F51" s="97"/>
      <c r="G51" s="97"/>
      <c r="H51" s="140">
        <v>10</v>
      </c>
      <c r="I51" s="140">
        <v>2</v>
      </c>
      <c r="J51" s="140">
        <v>100</v>
      </c>
    </row>
    <row r="52" spans="1:10" s="86" customFormat="1" ht="13.95" customHeight="1" x14ac:dyDescent="0.3">
      <c r="A52" s="133"/>
      <c r="B52" s="141"/>
      <c r="C52" s="135">
        <f t="shared" si="5"/>
        <v>1.3507648634341502E-2</v>
      </c>
      <c r="D52" s="139" t="e">
        <f>#REF!</f>
        <v>#REF!</v>
      </c>
      <c r="E52" s="97"/>
      <c r="F52" s="97"/>
      <c r="G52" s="97"/>
      <c r="H52" s="140">
        <v>40</v>
      </c>
      <c r="I52" s="140">
        <v>0.42499999999999999</v>
      </c>
      <c r="J52" s="140">
        <v>100</v>
      </c>
    </row>
    <row r="53" spans="1:10" s="86" customFormat="1" ht="13.95" customHeight="1" x14ac:dyDescent="0.3">
      <c r="A53" s="142"/>
      <c r="B53" s="143"/>
      <c r="C53" s="135">
        <f t="shared" si="5"/>
        <v>9.7144378688188929E-3</v>
      </c>
      <c r="D53" s="139" t="e">
        <f>#REF!</f>
        <v>#REF!</v>
      </c>
      <c r="E53" s="97"/>
      <c r="F53" s="97"/>
      <c r="G53" s="97"/>
      <c r="H53" s="140">
        <v>100</v>
      </c>
      <c r="I53" s="140">
        <v>0.15</v>
      </c>
      <c r="J53" s="140">
        <v>100</v>
      </c>
    </row>
    <row r="54" spans="1:10" s="86" customFormat="1" ht="13.95" customHeight="1" thickBot="1" x14ac:dyDescent="0.35">
      <c r="A54" s="133"/>
      <c r="B54" s="141"/>
      <c r="C54" s="135">
        <f t="shared" si="5"/>
        <v>6.869144892457232E-3</v>
      </c>
      <c r="D54" s="139" t="e">
        <f>#REF!</f>
        <v>#REF!</v>
      </c>
      <c r="E54" s="97"/>
      <c r="F54" s="97"/>
      <c r="G54" s="97"/>
      <c r="H54" s="144">
        <v>200</v>
      </c>
      <c r="I54" s="144">
        <v>7.4999999999999997E-2</v>
      </c>
      <c r="J54" s="144">
        <f>'Sieve Analysis'!D30</f>
        <v>99.6965</v>
      </c>
    </row>
    <row r="55" spans="1:10" s="86" customFormat="1" ht="13.95" customHeight="1" x14ac:dyDescent="0.3">
      <c r="A55" s="133"/>
      <c r="B55" s="141"/>
      <c r="C55" s="135">
        <f t="shared" si="5"/>
        <v>3.6347091409764921E-3</v>
      </c>
      <c r="D55" s="139" t="e">
        <f>#REF!</f>
        <v>#REF!</v>
      </c>
      <c r="E55" s="97"/>
      <c r="F55" s="97"/>
      <c r="G55" s="97"/>
      <c r="H55" s="134" t="s">
        <v>300</v>
      </c>
      <c r="I55" s="86">
        <v>4.2714935517782049E-2</v>
      </c>
      <c r="J55" s="86">
        <v>1.5654346729865267</v>
      </c>
    </row>
    <row r="56" spans="1:10" s="86" customFormat="1" ht="13.95" customHeight="1" x14ac:dyDescent="0.3">
      <c r="A56" s="133"/>
      <c r="B56" s="96"/>
      <c r="C56" s="135">
        <f t="shared" si="5"/>
        <v>2.5904225870515135E-3</v>
      </c>
      <c r="D56" s="139" t="e">
        <f>#REF!</f>
        <v>#REF!</v>
      </c>
      <c r="E56" s="97"/>
      <c r="F56" s="97"/>
      <c r="G56" s="97"/>
      <c r="H56" s="134"/>
      <c r="I56" s="134"/>
      <c r="J56" s="134"/>
    </row>
    <row r="57" spans="1:10" s="86" customFormat="1" ht="13.95" customHeight="1" x14ac:dyDescent="0.3">
      <c r="A57" s="133"/>
      <c r="B57" s="141"/>
      <c r="C57" s="135">
        <f t="shared" si="5"/>
        <v>1.8740985711508773E-3</v>
      </c>
      <c r="D57" s="139" t="e">
        <f>#REF!</f>
        <v>#REF!</v>
      </c>
      <c r="E57" s="97"/>
      <c r="F57" s="97"/>
      <c r="G57" s="97"/>
      <c r="H57" s="134"/>
      <c r="I57" s="134"/>
      <c r="J57" s="134"/>
    </row>
    <row r="58" spans="1:10" s="86" customFormat="1" ht="13.95" customHeight="1" x14ac:dyDescent="0.3">
      <c r="B58" s="145"/>
      <c r="C58" s="135">
        <f t="shared" si="5"/>
        <v>9.6458712332077648E-4</v>
      </c>
      <c r="D58" s="139" t="e">
        <f>#REF!</f>
        <v>#REF!</v>
      </c>
      <c r="E58" s="97"/>
      <c r="F58" s="97"/>
      <c r="G58" s="97"/>
      <c r="H58" s="134"/>
      <c r="I58" s="134"/>
      <c r="J58" s="134"/>
    </row>
    <row r="59" spans="1:10" s="86" customFormat="1" ht="13.95" customHeight="1" x14ac:dyDescent="0.3">
      <c r="C59" s="135">
        <f t="shared" si="5"/>
        <v>4.0472115366736592E-4</v>
      </c>
      <c r="D59" s="139" t="e">
        <f>#REF!</f>
        <v>#REF!</v>
      </c>
      <c r="E59" s="97"/>
      <c r="F59" s="97"/>
      <c r="G59" s="97"/>
      <c r="H59" s="134"/>
      <c r="I59" s="134"/>
      <c r="J59" s="134"/>
    </row>
    <row r="60" spans="1:10" s="86" customFormat="1" ht="13.95" customHeight="1" x14ac:dyDescent="0.3">
      <c r="B60" s="145"/>
      <c r="C60" s="135">
        <f>G41</f>
        <v>0</v>
      </c>
      <c r="D60" s="139" t="e">
        <f>#REF!</f>
        <v>#REF!</v>
      </c>
      <c r="E60" s="97"/>
      <c r="F60" s="97"/>
      <c r="G60" s="97"/>
      <c r="H60" s="134"/>
      <c r="I60" s="134"/>
      <c r="J60" s="134"/>
    </row>
    <row r="61" spans="1:10" s="86" customFormat="1" ht="13.95" customHeight="1" x14ac:dyDescent="0.3">
      <c r="B61" s="145"/>
      <c r="C61" s="135">
        <f t="shared" ref="C61:C62" si="6">G42</f>
        <v>0</v>
      </c>
      <c r="D61" s="139" t="e">
        <f>#REF!</f>
        <v>#REF!</v>
      </c>
      <c r="E61" s="97"/>
      <c r="F61" s="97"/>
      <c r="G61" s="97"/>
      <c r="H61" s="134"/>
      <c r="I61" s="134"/>
      <c r="J61" s="134"/>
    </row>
    <row r="62" spans="1:10" s="86" customFormat="1" ht="13.95" customHeight="1" x14ac:dyDescent="0.3">
      <c r="C62" s="135">
        <f t="shared" si="6"/>
        <v>0</v>
      </c>
      <c r="D62" s="139" t="e">
        <f>#REF!</f>
        <v>#REF!</v>
      </c>
      <c r="E62" s="97"/>
      <c r="F62" s="97"/>
      <c r="G62" s="97"/>
      <c r="H62" s="134"/>
      <c r="I62" s="134"/>
      <c r="J62" s="134"/>
    </row>
    <row r="63" spans="1:10" s="86" customFormat="1" ht="13.95" customHeight="1" x14ac:dyDescent="0.3"/>
    <row r="64" spans="1:10" s="86" customFormat="1" ht="13.95" customHeight="1" x14ac:dyDescent="0.3">
      <c r="A64" s="146"/>
    </row>
    <row r="65" spans="1:12" s="86" customFormat="1" ht="13.95" customHeight="1" x14ac:dyDescent="0.3"/>
    <row r="66" spans="1:12" s="86" customFormat="1" ht="13.95" customHeight="1" x14ac:dyDescent="0.3"/>
    <row r="67" spans="1:12" s="86" customFormat="1" ht="13.95" customHeight="1" x14ac:dyDescent="0.3"/>
    <row r="68" spans="1:12" s="86" customFormat="1" ht="13.95" customHeight="1" x14ac:dyDescent="0.3">
      <c r="A68" s="147"/>
      <c r="B68" s="68" t="s">
        <v>283</v>
      </c>
      <c r="D68" s="68" t="s">
        <v>284</v>
      </c>
      <c r="H68" s="68" t="s">
        <v>285</v>
      </c>
    </row>
    <row r="69" spans="1:12" s="86" customFormat="1" ht="18" customHeight="1" x14ac:dyDescent="0.3">
      <c r="I69" s="66"/>
      <c r="J69" s="66"/>
      <c r="K69" s="66"/>
      <c r="L69" s="66"/>
    </row>
    <row r="70" spans="1:12" s="86" customFormat="1" ht="18" customHeight="1" x14ac:dyDescent="0.3">
      <c r="A70" s="147"/>
      <c r="I70" s="66"/>
      <c r="J70" s="66"/>
      <c r="K70" s="66"/>
      <c r="L70" s="66"/>
    </row>
    <row r="71" spans="1:12" s="86" customFormat="1" ht="18" customHeight="1" x14ac:dyDescent="0.3">
      <c r="I71" s="66"/>
      <c r="J71" s="66"/>
      <c r="K71" s="66"/>
      <c r="L71" s="66"/>
    </row>
    <row r="72" spans="1:12" ht="18" customHeight="1" x14ac:dyDescent="0.3"/>
    <row r="73" spans="1:12" ht="18" customHeight="1" x14ac:dyDescent="0.3"/>
    <row r="74" spans="1:12" ht="18" customHeight="1" x14ac:dyDescent="0.3"/>
    <row r="75" spans="1:12" ht="18" customHeight="1" x14ac:dyDescent="0.3"/>
    <row r="76" spans="1:12" ht="18" customHeight="1" x14ac:dyDescent="0.3"/>
  </sheetData>
  <mergeCells count="4">
    <mergeCell ref="A2:J2"/>
    <mergeCell ref="A3:J3"/>
    <mergeCell ref="B4:E4"/>
    <mergeCell ref="H47:I47"/>
  </mergeCells>
  <printOptions horizontalCentered="1"/>
  <pageMargins left="0.5" right="0.5" top="0.5" bottom="0.5" header="0" footer="0"/>
  <pageSetup scale="70" orientation="portrait" horizontalDpi="4294967292" verticalDpi="4294967292" r:id="rId1"/>
  <headerFooter>
    <oddFooter>&amp;L&amp;K000000_x000D_14.333 Geotechnical Laboratory&amp;C&amp;K000000_x000D_Revised 01/12&amp;R&amp;K000000_x000D___ of __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4">
    <pageSetUpPr fitToPage="1"/>
  </sheetPr>
  <dimension ref="A2:P76"/>
  <sheetViews>
    <sheetView view="pageBreakPreview" topLeftCell="B21" zoomScale="160" zoomScaleNormal="175" zoomScaleSheetLayoutView="160" zoomScalePageLayoutView="175" workbookViewId="0">
      <selection activeCell="K30" sqref="K30"/>
    </sheetView>
  </sheetViews>
  <sheetFormatPr defaultColWidth="6.6640625" defaultRowHeight="16.2" customHeight="1" x14ac:dyDescent="0.3"/>
  <cols>
    <col min="1" max="1" width="12.6640625" style="66" customWidth="1"/>
    <col min="2" max="2" width="18.88671875" style="66" customWidth="1"/>
    <col min="3" max="7" width="12.6640625" style="66" customWidth="1"/>
    <col min="8" max="8" width="12.88671875" style="66" customWidth="1"/>
    <col min="9" max="9" width="10.44140625" style="66" customWidth="1"/>
    <col min="10" max="10" width="8" style="66" customWidth="1"/>
    <col min="11" max="13" width="6.6640625" style="66"/>
    <col min="14" max="14" width="8.44140625" style="66" bestFit="1" customWidth="1"/>
    <col min="15" max="16384" width="6.6640625" style="66"/>
  </cols>
  <sheetData>
    <row r="2" spans="1:10" ht="18" customHeight="1" x14ac:dyDescent="0.3">
      <c r="A2" s="182" t="s">
        <v>212</v>
      </c>
      <c r="B2" s="182"/>
      <c r="C2" s="182"/>
      <c r="D2" s="182"/>
      <c r="E2" s="182"/>
      <c r="F2" s="182"/>
      <c r="G2" s="182"/>
      <c r="H2" s="182"/>
      <c r="I2" s="182"/>
      <c r="J2" s="182"/>
    </row>
    <row r="3" spans="1:10" s="67" customFormat="1" ht="18" customHeight="1" x14ac:dyDescent="0.3">
      <c r="A3" s="183" t="s">
        <v>213</v>
      </c>
      <c r="B3" s="183"/>
      <c r="C3" s="183"/>
      <c r="D3" s="183"/>
      <c r="E3" s="183"/>
      <c r="F3" s="183"/>
      <c r="G3" s="183"/>
      <c r="H3" s="183"/>
      <c r="I3" s="183"/>
      <c r="J3" s="183"/>
    </row>
    <row r="4" spans="1:10" ht="40.950000000000003" customHeight="1" x14ac:dyDescent="0.3">
      <c r="A4" s="68" t="s">
        <v>214</v>
      </c>
      <c r="B4" s="185" t="s">
        <v>286</v>
      </c>
      <c r="C4" s="185"/>
      <c r="D4" s="185"/>
      <c r="E4" s="185"/>
      <c r="G4" s="68" t="s">
        <v>215</v>
      </c>
      <c r="H4" s="71"/>
      <c r="I4" s="68"/>
    </row>
    <row r="5" spans="1:10" ht="13.95" customHeight="1" x14ac:dyDescent="0.3">
      <c r="A5" s="68" t="s">
        <v>216</v>
      </c>
      <c r="B5" s="72" t="s">
        <v>287</v>
      </c>
      <c r="C5" s="72"/>
      <c r="D5" s="73"/>
      <c r="G5" s="68" t="s">
        <v>217</v>
      </c>
      <c r="H5" s="72" t="s">
        <v>289</v>
      </c>
      <c r="I5" s="68"/>
    </row>
    <row r="6" spans="1:10" ht="13.95" customHeight="1" x14ac:dyDescent="0.3">
      <c r="A6" s="68" t="s">
        <v>218</v>
      </c>
      <c r="B6" s="72" t="s">
        <v>292</v>
      </c>
      <c r="C6" s="72"/>
      <c r="D6" s="73"/>
      <c r="G6" s="68" t="s">
        <v>219</v>
      </c>
      <c r="H6" s="72"/>
    </row>
    <row r="7" spans="1:10" ht="13.95" customHeight="1" x14ac:dyDescent="0.3">
      <c r="A7" s="74"/>
      <c r="B7" s="75"/>
      <c r="C7" s="76"/>
      <c r="D7" s="76"/>
      <c r="E7" s="74"/>
      <c r="F7" s="75"/>
      <c r="G7" s="77"/>
      <c r="H7" s="77"/>
      <c r="I7" s="74"/>
      <c r="J7" s="74"/>
    </row>
    <row r="8" spans="1:10" ht="13.95" customHeight="1" x14ac:dyDescent="0.3">
      <c r="A8" s="78" t="s">
        <v>220</v>
      </c>
      <c r="B8" s="68"/>
      <c r="D8" s="78" t="s">
        <v>221</v>
      </c>
      <c r="F8" s="68"/>
      <c r="G8" s="79"/>
      <c r="H8" s="78" t="s">
        <v>222</v>
      </c>
    </row>
    <row r="9" spans="1:10" ht="13.95" customHeight="1" x14ac:dyDescent="0.3">
      <c r="A9" s="80" t="s">
        <v>223</v>
      </c>
      <c r="B9" s="70"/>
      <c r="D9" s="81"/>
      <c r="E9" s="82" t="s">
        <v>224</v>
      </c>
      <c r="F9" s="69"/>
      <c r="H9" s="82"/>
      <c r="I9" s="82" t="s">
        <v>224</v>
      </c>
      <c r="J9" s="69"/>
    </row>
    <row r="10" spans="1:10" ht="13.95" customHeight="1" x14ac:dyDescent="0.3">
      <c r="A10" s="80" t="s">
        <v>225</v>
      </c>
      <c r="B10" s="70"/>
      <c r="D10" s="82"/>
      <c r="E10" s="82" t="s">
        <v>226</v>
      </c>
      <c r="F10" s="83"/>
      <c r="H10" s="79"/>
      <c r="I10" s="82" t="s">
        <v>227</v>
      </c>
      <c r="J10" s="69"/>
    </row>
    <row r="11" spans="1:10" ht="13.95" customHeight="1" x14ac:dyDescent="0.3">
      <c r="A11" s="80" t="s">
        <v>228</v>
      </c>
      <c r="B11" s="70"/>
      <c r="C11" s="81"/>
      <c r="D11" s="81"/>
      <c r="E11" s="82" t="s">
        <v>229</v>
      </c>
      <c r="F11" s="83"/>
      <c r="H11" s="79"/>
      <c r="I11" s="82" t="s">
        <v>230</v>
      </c>
      <c r="J11" s="69"/>
    </row>
    <row r="12" spans="1:10" ht="13.95" customHeight="1" x14ac:dyDescent="0.3">
      <c r="B12" s="68"/>
      <c r="C12" s="81"/>
      <c r="D12" s="81"/>
      <c r="E12" s="82" t="s">
        <v>231</v>
      </c>
      <c r="F12" s="83"/>
      <c r="H12" s="79"/>
      <c r="I12" s="82" t="s">
        <v>232</v>
      </c>
      <c r="J12" s="69"/>
    </row>
    <row r="13" spans="1:10" ht="13.95" customHeight="1" x14ac:dyDescent="0.3">
      <c r="A13" s="78" t="s">
        <v>233</v>
      </c>
      <c r="E13" s="82" t="s">
        <v>234</v>
      </c>
      <c r="F13" s="83"/>
      <c r="I13" s="82" t="s">
        <v>235</v>
      </c>
      <c r="J13" s="69"/>
    </row>
    <row r="14" spans="1:10" ht="13.5" customHeight="1" x14ac:dyDescent="0.3">
      <c r="A14" s="78"/>
      <c r="E14" s="82" t="s">
        <v>236</v>
      </c>
      <c r="F14" s="83">
        <f>'Gravemetric Moisture Content'!G33</f>
        <v>47.222381728518869</v>
      </c>
    </row>
    <row r="15" spans="1:10" ht="13.95" customHeight="1" x14ac:dyDescent="0.3">
      <c r="A15" s="74"/>
      <c r="B15" s="75"/>
      <c r="C15" s="74"/>
      <c r="D15" s="74"/>
      <c r="E15" s="74"/>
      <c r="F15" s="74"/>
      <c r="G15" s="74"/>
      <c r="H15" s="74"/>
      <c r="I15" s="74"/>
      <c r="J15" s="74"/>
    </row>
    <row r="16" spans="1:10" ht="13.95" customHeight="1" x14ac:dyDescent="0.3">
      <c r="A16" s="84" t="s">
        <v>237</v>
      </c>
      <c r="B16" s="85"/>
      <c r="C16" s="85"/>
      <c r="D16" s="85"/>
      <c r="E16" s="85"/>
      <c r="F16" s="85"/>
      <c r="G16" s="85"/>
      <c r="H16" s="85"/>
      <c r="I16" s="85"/>
      <c r="J16" s="85"/>
    </row>
    <row r="17" spans="1:15" ht="13.95" customHeight="1" x14ac:dyDescent="0.3">
      <c r="A17" s="78" t="s">
        <v>238</v>
      </c>
      <c r="B17" s="82"/>
      <c r="C17" s="86"/>
      <c r="D17" s="87" t="s">
        <v>239</v>
      </c>
      <c r="E17" s="86"/>
      <c r="G17" s="88" t="s">
        <v>240</v>
      </c>
      <c r="H17" s="86" t="s">
        <v>241</v>
      </c>
      <c r="I17" s="86"/>
      <c r="J17" s="86"/>
    </row>
    <row r="18" spans="1:15" ht="13.95" customHeight="1" x14ac:dyDescent="0.3">
      <c r="A18" s="78" t="s">
        <v>242</v>
      </c>
      <c r="B18" s="88" t="s">
        <v>243</v>
      </c>
      <c r="C18" s="86"/>
      <c r="E18" s="87" t="s">
        <v>244</v>
      </c>
      <c r="F18" s="86"/>
      <c r="G18" s="89">
        <v>5</v>
      </c>
      <c r="H18" s="86"/>
      <c r="I18" s="86"/>
      <c r="J18" s="86"/>
    </row>
    <row r="19" spans="1:15" s="86" customFormat="1" ht="10.95" customHeight="1" x14ac:dyDescent="0.3">
      <c r="A19" s="78"/>
      <c r="B19" s="90" t="s">
        <v>245</v>
      </c>
      <c r="D19" s="87" t="s">
        <v>246</v>
      </c>
      <c r="F19" s="91"/>
      <c r="G19" s="88" t="s">
        <v>247</v>
      </c>
      <c r="H19" s="91"/>
    </row>
    <row r="20" spans="1:15" s="86" customFormat="1" ht="10.95" customHeight="1" x14ac:dyDescent="0.3">
      <c r="A20" s="92"/>
      <c r="B20" s="74"/>
      <c r="C20" s="74"/>
      <c r="D20" s="93"/>
      <c r="E20" s="74"/>
      <c r="F20" s="74"/>
      <c r="G20" s="74"/>
      <c r="H20" s="74"/>
      <c r="I20" s="74"/>
      <c r="J20" s="74"/>
    </row>
    <row r="21" spans="1:15" s="86" customFormat="1" ht="13.95" customHeight="1" x14ac:dyDescent="0.3">
      <c r="A21" s="78" t="s">
        <v>248</v>
      </c>
      <c r="H21" s="87" t="s">
        <v>249</v>
      </c>
    </row>
    <row r="22" spans="1:15" s="86" customFormat="1" ht="13.95" customHeight="1" x14ac:dyDescent="0.3">
      <c r="A22" s="78" t="s">
        <v>250</v>
      </c>
      <c r="B22" s="88" t="s">
        <v>251</v>
      </c>
      <c r="I22" s="82" t="s">
        <v>252</v>
      </c>
    </row>
    <row r="23" spans="1:15" s="86" customFormat="1" ht="13.95" customHeight="1" x14ac:dyDescent="0.3">
      <c r="A23" s="78"/>
      <c r="I23" s="82" t="s">
        <v>253</v>
      </c>
    </row>
    <row r="24" spans="1:15" s="86" customFormat="1" ht="13.95" customHeight="1" x14ac:dyDescent="0.3">
      <c r="A24" s="78" t="s">
        <v>254</v>
      </c>
      <c r="I24" s="82" t="s">
        <v>255</v>
      </c>
    </row>
    <row r="25" spans="1:15" s="86" customFormat="1" ht="13.95" customHeight="1" x14ac:dyDescent="0.3">
      <c r="A25" s="78" t="s">
        <v>256</v>
      </c>
      <c r="B25" s="94">
        <v>43844</v>
      </c>
      <c r="C25" s="82"/>
      <c r="D25" s="87"/>
      <c r="E25" s="82"/>
      <c r="F25" s="95"/>
      <c r="I25" s="82" t="s">
        <v>257</v>
      </c>
    </row>
    <row r="26" spans="1:15" s="86" customFormat="1" ht="13.95" customHeight="1" x14ac:dyDescent="0.3">
      <c r="A26" s="78" t="s">
        <v>258</v>
      </c>
      <c r="B26" s="149">
        <v>43844.333333333336</v>
      </c>
      <c r="F26" s="82"/>
      <c r="I26" s="82" t="s">
        <v>259</v>
      </c>
    </row>
    <row r="27" spans="1:15" s="86" customFormat="1" ht="13.95" customHeight="1" x14ac:dyDescent="0.3">
      <c r="A27" s="78"/>
      <c r="F27" s="82"/>
      <c r="H27" s="82" t="s">
        <v>260</v>
      </c>
      <c r="N27" s="86">
        <f>4+(0.01248*29)+(0.00795*29^2)</f>
        <v>11.04787</v>
      </c>
      <c r="O27" s="87" t="s">
        <v>6</v>
      </c>
    </row>
    <row r="28" spans="1:15" s="86" customFormat="1" ht="13.95" customHeight="1" x14ac:dyDescent="0.3">
      <c r="A28" s="78"/>
      <c r="B28" s="87"/>
      <c r="G28" s="87" t="s">
        <v>261</v>
      </c>
      <c r="I28" s="88" t="s">
        <v>262</v>
      </c>
      <c r="J28" s="86">
        <f>'Specific Gravity Tests'!B109</f>
        <v>2.6632790789795551</v>
      </c>
      <c r="O28" s="87" t="s">
        <v>263</v>
      </c>
    </row>
    <row r="29" spans="1:15" s="86" customFormat="1" ht="10.95" customHeight="1" thickBot="1" x14ac:dyDescent="0.35"/>
    <row r="30" spans="1:15" s="97" customFormat="1" ht="54" customHeight="1" x14ac:dyDescent="0.3">
      <c r="B30" s="98" t="s">
        <v>264</v>
      </c>
      <c r="C30" s="99" t="s">
        <v>265</v>
      </c>
      <c r="D30" s="100" t="s">
        <v>266</v>
      </c>
      <c r="E30" s="101" t="s">
        <v>267</v>
      </c>
      <c r="F30" s="101" t="s">
        <v>268</v>
      </c>
      <c r="G30" s="101" t="s">
        <v>269</v>
      </c>
      <c r="H30" s="102" t="s">
        <v>270</v>
      </c>
      <c r="J30" s="103"/>
      <c r="K30" s="104"/>
      <c r="L30" s="104"/>
    </row>
    <row r="31" spans="1:15" s="87" customFormat="1" ht="13.95" customHeight="1" x14ac:dyDescent="0.3">
      <c r="B31" s="105">
        <v>0.1</v>
      </c>
      <c r="C31" s="106">
        <v>28</v>
      </c>
      <c r="D31" s="107">
        <v>27</v>
      </c>
      <c r="E31" s="108">
        <f t="shared" ref="E31:E39" si="0">$N$27+(((0.01248*D31)-((0.00795)*D31^2)))</f>
        <v>5.5892799999999996</v>
      </c>
      <c r="F31" s="109">
        <f t="shared" ref="F31:F39" si="1">7.8+(((18.8-7.8)/(60+5))*(60-C31+$N$31))-($N$32/$N$33)</f>
        <v>11.519518395257236</v>
      </c>
      <c r="G31" s="110">
        <f>(SQRT(((18*0.01)/(0.99821*980.7*($J$28-1))*(F31/(B31*60)))*10))</f>
        <v>4.6069784462469399E-2</v>
      </c>
      <c r="H31" s="111">
        <f t="shared" ref="H31:H39" si="2">0.6226*($J$28/($J$28-1))*((50/$F$14)*(C31-E31))*(100/1000)</f>
        <v>2.3655852048557593</v>
      </c>
      <c r="J31" s="103"/>
      <c r="K31" s="112"/>
      <c r="L31" s="112"/>
      <c r="N31" s="87">
        <v>1</v>
      </c>
      <c r="O31" s="90" t="s">
        <v>271</v>
      </c>
    </row>
    <row r="32" spans="1:15" s="87" customFormat="1" ht="13.95" customHeight="1" x14ac:dyDescent="0.3">
      <c r="B32" s="113">
        <v>1</v>
      </c>
      <c r="C32" s="114">
        <v>25</v>
      </c>
      <c r="D32" s="107">
        <v>27</v>
      </c>
      <c r="E32" s="108">
        <f t="shared" si="0"/>
        <v>5.5892799999999996</v>
      </c>
      <c r="F32" s="109">
        <f t="shared" si="1"/>
        <v>12.027210702949544</v>
      </c>
      <c r="G32" s="110">
        <f t="shared" ref="G32:G39" si="3">(SQRT(((18*0.01)/(0.99821*980.7*($J$28-1))*(F32/(B32*60)))*10))</f>
        <v>1.488611873832198E-2</v>
      </c>
      <c r="H32" s="111">
        <f t="shared" si="2"/>
        <v>2.0489173059856078</v>
      </c>
      <c r="J32" s="103"/>
      <c r="K32" s="112"/>
      <c r="L32" s="112"/>
      <c r="N32" s="87">
        <v>60</v>
      </c>
      <c r="O32" s="90" t="s">
        <v>272</v>
      </c>
    </row>
    <row r="33" spans="1:16" s="87" customFormat="1" ht="13.95" customHeight="1" x14ac:dyDescent="0.3">
      <c r="B33" s="113">
        <v>2</v>
      </c>
      <c r="C33" s="114">
        <v>22</v>
      </c>
      <c r="D33" s="107">
        <v>27</v>
      </c>
      <c r="E33" s="108">
        <f t="shared" si="0"/>
        <v>5.5892799999999996</v>
      </c>
      <c r="F33" s="109">
        <f t="shared" si="1"/>
        <v>12.534903010641852</v>
      </c>
      <c r="G33" s="110">
        <f t="shared" si="3"/>
        <v>1.074594244682622E-2</v>
      </c>
      <c r="H33" s="111">
        <f t="shared" si="2"/>
        <v>1.7322494071154566</v>
      </c>
      <c r="J33" s="103"/>
      <c r="K33" s="112"/>
      <c r="L33" s="112"/>
      <c r="N33" s="87">
        <f>(PI()*6.4^2)/4</f>
        <v>32.169908772759484</v>
      </c>
      <c r="O33" s="90" t="s">
        <v>273</v>
      </c>
    </row>
    <row r="34" spans="1:16" s="87" customFormat="1" ht="13.95" customHeight="1" x14ac:dyDescent="0.3">
      <c r="B34" s="113">
        <v>4</v>
      </c>
      <c r="C34" s="114">
        <v>20</v>
      </c>
      <c r="D34" s="107">
        <v>27</v>
      </c>
      <c r="E34" s="108">
        <f t="shared" si="0"/>
        <v>5.5892799999999996</v>
      </c>
      <c r="F34" s="109">
        <f t="shared" si="1"/>
        <v>12.873364549103391</v>
      </c>
      <c r="G34" s="110">
        <f t="shared" si="3"/>
        <v>7.7004314193111559E-3</v>
      </c>
      <c r="H34" s="111">
        <f t="shared" si="2"/>
        <v>1.5211374745353556</v>
      </c>
      <c r="J34" s="103"/>
      <c r="K34" s="112"/>
      <c r="L34" s="112"/>
      <c r="O34" s="90"/>
    </row>
    <row r="35" spans="1:16" s="87" customFormat="1" ht="13.95" customHeight="1" x14ac:dyDescent="0.3">
      <c r="B35" s="113">
        <v>15</v>
      </c>
      <c r="C35" s="114">
        <v>18</v>
      </c>
      <c r="D35" s="107">
        <v>27</v>
      </c>
      <c r="E35" s="108">
        <f t="shared" si="0"/>
        <v>5.5892799999999996</v>
      </c>
      <c r="F35" s="109">
        <f t="shared" si="1"/>
        <v>13.211826087564928</v>
      </c>
      <c r="G35" s="110">
        <f t="shared" si="3"/>
        <v>4.0284206517121361E-3</v>
      </c>
      <c r="H35" s="111">
        <f t="shared" si="2"/>
        <v>1.3100255419552547</v>
      </c>
      <c r="J35" s="103"/>
      <c r="K35" s="112"/>
      <c r="L35" s="112"/>
      <c r="O35" s="90" t="s">
        <v>274</v>
      </c>
      <c r="P35" s="90"/>
    </row>
    <row r="36" spans="1:16" s="87" customFormat="1" ht="13.95" customHeight="1" x14ac:dyDescent="0.3">
      <c r="B36" s="113">
        <v>30</v>
      </c>
      <c r="C36" s="106">
        <v>16</v>
      </c>
      <c r="D36" s="107">
        <v>27</v>
      </c>
      <c r="E36" s="108">
        <f t="shared" si="0"/>
        <v>5.5892799999999996</v>
      </c>
      <c r="F36" s="109">
        <f t="shared" si="1"/>
        <v>13.550287626026467</v>
      </c>
      <c r="G36" s="110">
        <f t="shared" si="3"/>
        <v>2.8847796694615874E-3</v>
      </c>
      <c r="H36" s="111">
        <f t="shared" si="2"/>
        <v>1.0989136093751539</v>
      </c>
      <c r="J36" s="103"/>
      <c r="K36" s="112"/>
      <c r="L36" s="112"/>
      <c r="P36" s="90"/>
    </row>
    <row r="37" spans="1:16" s="87" customFormat="1" ht="13.95" customHeight="1" x14ac:dyDescent="0.3">
      <c r="B37" s="113">
        <v>60</v>
      </c>
      <c r="C37" s="106">
        <v>15</v>
      </c>
      <c r="D37" s="107">
        <v>27</v>
      </c>
      <c r="E37" s="108">
        <f t="shared" si="0"/>
        <v>5.5892799999999996</v>
      </c>
      <c r="F37" s="109">
        <f t="shared" si="1"/>
        <v>13.719518395257237</v>
      </c>
      <c r="G37" s="110">
        <f t="shared" si="3"/>
        <v>2.0525456602988341E-3</v>
      </c>
      <c r="H37" s="111">
        <f t="shared" si="2"/>
        <v>0.99335764308510355</v>
      </c>
      <c r="J37" s="103"/>
      <c r="K37" s="112"/>
      <c r="L37" s="112"/>
      <c r="N37" s="95">
        <v>1000</v>
      </c>
      <c r="O37" s="90" t="s">
        <v>275</v>
      </c>
      <c r="P37" s="90"/>
    </row>
    <row r="38" spans="1:16" s="87" customFormat="1" ht="13.95" customHeight="1" x14ac:dyDescent="0.3">
      <c r="B38" s="113">
        <v>240</v>
      </c>
      <c r="C38" s="106">
        <v>15</v>
      </c>
      <c r="D38" s="107">
        <v>27</v>
      </c>
      <c r="E38" s="108">
        <f t="shared" si="0"/>
        <v>5.5892799999999996</v>
      </c>
      <c r="F38" s="109">
        <f t="shared" si="1"/>
        <v>13.719518395257237</v>
      </c>
      <c r="G38" s="110">
        <f t="shared" si="3"/>
        <v>1.026272830149417E-3</v>
      </c>
      <c r="H38" s="111">
        <f t="shared" si="2"/>
        <v>0.99335764308510355</v>
      </c>
      <c r="J38" s="103"/>
      <c r="K38" s="112"/>
      <c r="L38" s="112"/>
      <c r="O38" s="90" t="s">
        <v>276</v>
      </c>
    </row>
    <row r="39" spans="1:16" s="86" customFormat="1" ht="13.95" customHeight="1" x14ac:dyDescent="0.3">
      <c r="B39" s="113">
        <v>1440</v>
      </c>
      <c r="C39" s="106">
        <v>13</v>
      </c>
      <c r="D39" s="107">
        <v>27</v>
      </c>
      <c r="E39" s="108">
        <f t="shared" si="0"/>
        <v>5.5892799999999996</v>
      </c>
      <c r="F39" s="109">
        <f t="shared" si="1"/>
        <v>14.057979933718775</v>
      </c>
      <c r="G39" s="110">
        <f t="shared" si="3"/>
        <v>4.2411070299587961E-4</v>
      </c>
      <c r="H39" s="111">
        <f t="shared" si="2"/>
        <v>0.78224571050500247</v>
      </c>
      <c r="J39" s="103"/>
      <c r="O39" s="90" t="s">
        <v>277</v>
      </c>
    </row>
    <row r="40" spans="1:16" s="86" customFormat="1" ht="13.95" customHeight="1" x14ac:dyDescent="0.3">
      <c r="B40" s="113"/>
      <c r="C40" s="106"/>
      <c r="D40" s="111"/>
      <c r="E40" s="108"/>
      <c r="F40" s="109"/>
      <c r="G40" s="110"/>
      <c r="H40" s="111"/>
      <c r="J40" s="103"/>
      <c r="O40" s="90" t="s">
        <v>278</v>
      </c>
    </row>
    <row r="41" spans="1:16" s="86" customFormat="1" ht="13.95" customHeight="1" thickBot="1" x14ac:dyDescent="0.35">
      <c r="B41" s="115"/>
      <c r="C41" s="116"/>
      <c r="D41" s="111"/>
      <c r="E41" s="108"/>
      <c r="F41" s="117"/>
      <c r="G41" s="118"/>
      <c r="H41" s="111"/>
      <c r="J41" s="119"/>
    </row>
    <row r="42" spans="1:16" s="86" customFormat="1" ht="13.95" customHeight="1" x14ac:dyDescent="0.3">
      <c r="A42" s="120"/>
      <c r="B42" s="77"/>
      <c r="C42" s="121"/>
      <c r="D42" s="121"/>
      <c r="E42" s="77"/>
      <c r="F42" s="122"/>
      <c r="G42" s="123"/>
      <c r="H42" s="77"/>
      <c r="I42" s="124"/>
      <c r="J42" s="125"/>
    </row>
    <row r="43" spans="1:16" s="86" customFormat="1" ht="13.95" customHeight="1" thickBot="1" x14ac:dyDescent="0.35">
      <c r="A43" s="126"/>
      <c r="B43" s="127"/>
      <c r="C43" s="128"/>
      <c r="D43" s="128"/>
      <c r="E43" s="127"/>
      <c r="F43" s="129"/>
      <c r="G43" s="130"/>
      <c r="H43" s="127"/>
      <c r="I43" s="131"/>
      <c r="J43" s="132"/>
    </row>
    <row r="44" spans="1:16" s="86" customFormat="1" ht="13.95" customHeight="1" x14ac:dyDescent="0.3">
      <c r="A44" s="133"/>
      <c r="C44" s="97"/>
      <c r="D44" s="97"/>
      <c r="E44" s="97"/>
      <c r="F44" s="97"/>
      <c r="G44" s="97"/>
      <c r="H44" s="134"/>
      <c r="I44" s="134"/>
      <c r="J44" s="103"/>
    </row>
    <row r="45" spans="1:16" s="86" customFormat="1" ht="13.95" customHeight="1" x14ac:dyDescent="0.3">
      <c r="A45" s="133"/>
      <c r="C45" s="97"/>
      <c r="D45" s="97"/>
      <c r="E45" s="97"/>
      <c r="F45" s="97"/>
      <c r="G45" s="97"/>
      <c r="H45" s="134"/>
      <c r="I45" s="134"/>
      <c r="J45" s="103"/>
    </row>
    <row r="46" spans="1:16" s="86" customFormat="1" ht="13.95" customHeight="1" x14ac:dyDescent="0.3">
      <c r="A46" s="97" t="s">
        <v>279</v>
      </c>
      <c r="B46" s="97" t="s">
        <v>280</v>
      </c>
      <c r="C46" s="135">
        <f t="shared" ref="C46:C50" si="4">J53</f>
        <v>100</v>
      </c>
      <c r="D46" s="135" t="e">
        <f>#REF!</f>
        <v>#REF!</v>
      </c>
      <c r="F46" s="97"/>
      <c r="G46" s="97">
        <v>9</v>
      </c>
      <c r="H46" s="134"/>
    </row>
    <row r="47" spans="1:16" s="86" customFormat="1" ht="13.95" customHeight="1" x14ac:dyDescent="0.3">
      <c r="A47" s="97"/>
      <c r="B47" s="97"/>
      <c r="C47" s="135">
        <f t="shared" si="4"/>
        <v>99.072000000000003</v>
      </c>
      <c r="D47" s="135" t="e">
        <f>#REF!</f>
        <v>#REF!</v>
      </c>
      <c r="F47" s="97"/>
      <c r="G47" s="97"/>
      <c r="H47" s="184" t="s">
        <v>281</v>
      </c>
      <c r="I47" s="184"/>
      <c r="J47" s="136"/>
    </row>
    <row r="48" spans="1:16" s="86" customFormat="1" ht="13.95" customHeight="1" thickBot="1" x14ac:dyDescent="0.35">
      <c r="A48" s="97">
        <v>4</v>
      </c>
      <c r="B48" s="97">
        <v>4.75</v>
      </c>
      <c r="C48" s="135">
        <f t="shared" si="4"/>
        <v>2.3655852048557593</v>
      </c>
      <c r="D48" s="135" t="e">
        <f>#REF!</f>
        <v>#REF!</v>
      </c>
      <c r="F48" s="97"/>
      <c r="G48" s="97"/>
      <c r="H48" s="134"/>
      <c r="I48" s="136"/>
      <c r="J48" s="136"/>
    </row>
    <row r="49" spans="1:10" s="86" customFormat="1" ht="13.95" customHeight="1" thickBot="1" x14ac:dyDescent="0.35">
      <c r="A49" s="97">
        <v>10</v>
      </c>
      <c r="B49" s="97">
        <v>2</v>
      </c>
      <c r="C49" s="135">
        <f t="shared" si="4"/>
        <v>0</v>
      </c>
      <c r="D49" s="135" t="e">
        <f>#REF!</f>
        <v>#REF!</v>
      </c>
      <c r="F49" s="97"/>
      <c r="G49" s="97"/>
      <c r="H49" s="137" t="s">
        <v>279</v>
      </c>
      <c r="I49" s="137" t="s">
        <v>269</v>
      </c>
      <c r="J49" s="137" t="s">
        <v>282</v>
      </c>
    </row>
    <row r="50" spans="1:10" s="86" customFormat="1" ht="13.95" customHeight="1" x14ac:dyDescent="0.3">
      <c r="A50" s="97">
        <v>40</v>
      </c>
      <c r="B50" s="97">
        <v>0.42499999999999999</v>
      </c>
      <c r="C50" s="135">
        <f t="shared" si="4"/>
        <v>0</v>
      </c>
      <c r="D50" s="135" t="e">
        <f>#REF!</f>
        <v>#REF!</v>
      </c>
      <c r="F50" s="97"/>
      <c r="G50" s="97"/>
      <c r="H50" s="138">
        <v>4</v>
      </c>
      <c r="I50" s="138">
        <v>4.75</v>
      </c>
      <c r="J50" s="138">
        <v>100</v>
      </c>
    </row>
    <row r="51" spans="1:10" s="86" customFormat="1" ht="13.95" customHeight="1" x14ac:dyDescent="0.3">
      <c r="A51" s="97">
        <v>200</v>
      </c>
      <c r="B51" s="97">
        <v>7.4999999999999997E-2</v>
      </c>
      <c r="C51" s="135">
        <f t="shared" ref="C51:C59" si="5">G31</f>
        <v>4.6069784462469399E-2</v>
      </c>
      <c r="D51" s="139" t="e">
        <f>#REF!</f>
        <v>#REF!</v>
      </c>
      <c r="F51" s="97"/>
      <c r="G51" s="97"/>
      <c r="H51" s="140">
        <v>10</v>
      </c>
      <c r="I51" s="140">
        <v>2</v>
      </c>
      <c r="J51" s="140">
        <v>100</v>
      </c>
    </row>
    <row r="52" spans="1:10" s="86" customFormat="1" ht="13.95" customHeight="1" x14ac:dyDescent="0.3">
      <c r="A52" s="133"/>
      <c r="B52" s="141"/>
      <c r="C52" s="135">
        <f t="shared" si="5"/>
        <v>1.488611873832198E-2</v>
      </c>
      <c r="D52" s="139" t="e">
        <f>#REF!</f>
        <v>#REF!</v>
      </c>
      <c r="E52" s="97"/>
      <c r="F52" s="97"/>
      <c r="G52" s="97"/>
      <c r="H52" s="140">
        <v>40</v>
      </c>
      <c r="I52" s="140">
        <v>0.42499999999999999</v>
      </c>
      <c r="J52" s="140">
        <v>100</v>
      </c>
    </row>
    <row r="53" spans="1:10" s="86" customFormat="1" ht="13.95" customHeight="1" x14ac:dyDescent="0.3">
      <c r="A53" s="142"/>
      <c r="B53" s="143"/>
      <c r="C53" s="135">
        <f t="shared" si="5"/>
        <v>1.074594244682622E-2</v>
      </c>
      <c r="D53" s="139" t="e">
        <f>#REF!</f>
        <v>#REF!</v>
      </c>
      <c r="E53" s="97"/>
      <c r="F53" s="97"/>
      <c r="G53" s="97"/>
      <c r="H53" s="140">
        <v>100</v>
      </c>
      <c r="I53" s="140">
        <v>0.15</v>
      </c>
      <c r="J53" s="140">
        <v>100</v>
      </c>
    </row>
    <row r="54" spans="1:10" s="86" customFormat="1" ht="13.95" customHeight="1" thickBot="1" x14ac:dyDescent="0.35">
      <c r="A54" s="133"/>
      <c r="B54" s="141"/>
      <c r="C54" s="135">
        <f t="shared" si="5"/>
        <v>7.7004314193111559E-3</v>
      </c>
      <c r="D54" s="139" t="e">
        <f>#REF!</f>
        <v>#REF!</v>
      </c>
      <c r="E54" s="97"/>
      <c r="F54" s="97"/>
      <c r="G54" s="97"/>
      <c r="H54" s="144">
        <v>200</v>
      </c>
      <c r="I54" s="144">
        <v>7.4999999999999997E-2</v>
      </c>
      <c r="J54" s="144">
        <f>'Sieve Analysis'!D43</f>
        <v>99.072000000000003</v>
      </c>
    </row>
    <row r="55" spans="1:10" s="86" customFormat="1" ht="13.95" customHeight="1" x14ac:dyDescent="0.3">
      <c r="A55" s="133"/>
      <c r="B55" s="141"/>
      <c r="C55" s="135">
        <f t="shared" si="5"/>
        <v>4.0284206517121361E-3</v>
      </c>
      <c r="D55" s="139" t="e">
        <f>#REF!</f>
        <v>#REF!</v>
      </c>
      <c r="E55" s="97"/>
      <c r="F55" s="97"/>
      <c r="G55" s="97"/>
      <c r="H55" s="134" t="s">
        <v>300</v>
      </c>
      <c r="I55" s="86">
        <v>4.6069784462469399E-2</v>
      </c>
      <c r="J55" s="86">
        <v>2.3655852048557593</v>
      </c>
    </row>
    <row r="56" spans="1:10" s="86" customFormat="1" ht="13.95" customHeight="1" x14ac:dyDescent="0.3">
      <c r="A56" s="133"/>
      <c r="B56" s="96"/>
      <c r="C56" s="135">
        <f t="shared" si="5"/>
        <v>2.8847796694615874E-3</v>
      </c>
      <c r="D56" s="139" t="e">
        <f>#REF!</f>
        <v>#REF!</v>
      </c>
      <c r="E56" s="97"/>
      <c r="F56" s="97"/>
      <c r="G56" s="97"/>
      <c r="H56" s="134"/>
      <c r="I56" s="134"/>
      <c r="J56" s="134"/>
    </row>
    <row r="57" spans="1:10" s="86" customFormat="1" ht="13.95" customHeight="1" x14ac:dyDescent="0.3">
      <c r="A57" s="133"/>
      <c r="B57" s="141"/>
      <c r="C57" s="135">
        <f t="shared" si="5"/>
        <v>2.0525456602988341E-3</v>
      </c>
      <c r="D57" s="139" t="e">
        <f>#REF!</f>
        <v>#REF!</v>
      </c>
      <c r="E57" s="97"/>
      <c r="F57" s="97"/>
      <c r="G57" s="97"/>
      <c r="H57" s="134"/>
      <c r="I57" s="134"/>
      <c r="J57" s="134"/>
    </row>
    <row r="58" spans="1:10" s="86" customFormat="1" ht="13.95" customHeight="1" x14ac:dyDescent="0.3">
      <c r="B58" s="145"/>
      <c r="C58" s="135">
        <f t="shared" si="5"/>
        <v>1.026272830149417E-3</v>
      </c>
      <c r="D58" s="139" t="e">
        <f>#REF!</f>
        <v>#REF!</v>
      </c>
      <c r="E58" s="97"/>
      <c r="F58" s="97"/>
      <c r="G58" s="97"/>
      <c r="H58" s="134"/>
      <c r="I58" s="134"/>
      <c r="J58" s="134"/>
    </row>
    <row r="59" spans="1:10" s="86" customFormat="1" ht="13.95" customHeight="1" x14ac:dyDescent="0.3">
      <c r="C59" s="135">
        <f t="shared" si="5"/>
        <v>4.2411070299587961E-4</v>
      </c>
      <c r="D59" s="139" t="e">
        <f>#REF!</f>
        <v>#REF!</v>
      </c>
      <c r="E59" s="97"/>
      <c r="F59" s="97"/>
      <c r="G59" s="97"/>
      <c r="H59" s="134"/>
      <c r="I59" s="134"/>
      <c r="J59" s="134"/>
    </row>
    <row r="60" spans="1:10" s="86" customFormat="1" ht="13.95" customHeight="1" x14ac:dyDescent="0.3">
      <c r="B60" s="145"/>
      <c r="C60" s="135">
        <f>G41</f>
        <v>0</v>
      </c>
      <c r="D60" s="139" t="e">
        <f>#REF!</f>
        <v>#REF!</v>
      </c>
      <c r="E60" s="97"/>
      <c r="F60" s="97"/>
      <c r="G60" s="97"/>
      <c r="H60" s="134"/>
      <c r="I60" s="134"/>
      <c r="J60" s="134"/>
    </row>
    <row r="61" spans="1:10" s="86" customFormat="1" ht="13.95" customHeight="1" x14ac:dyDescent="0.3">
      <c r="B61" s="145"/>
      <c r="C61" s="135">
        <f t="shared" ref="C61:C62" si="6">G42</f>
        <v>0</v>
      </c>
      <c r="D61" s="139" t="e">
        <f>#REF!</f>
        <v>#REF!</v>
      </c>
      <c r="E61" s="97"/>
      <c r="F61" s="97"/>
      <c r="G61" s="97"/>
      <c r="H61" s="134"/>
      <c r="I61" s="134"/>
      <c r="J61" s="134"/>
    </row>
    <row r="62" spans="1:10" s="86" customFormat="1" ht="13.95" customHeight="1" x14ac:dyDescent="0.3">
      <c r="C62" s="135">
        <f t="shared" si="6"/>
        <v>0</v>
      </c>
      <c r="D62" s="139" t="e">
        <f>#REF!</f>
        <v>#REF!</v>
      </c>
      <c r="E62" s="97"/>
      <c r="F62" s="97"/>
      <c r="G62" s="97"/>
      <c r="H62" s="134"/>
      <c r="I62" s="134"/>
      <c r="J62" s="134"/>
    </row>
    <row r="63" spans="1:10" s="86" customFormat="1" ht="13.95" customHeight="1" x14ac:dyDescent="0.3"/>
    <row r="64" spans="1:10" s="86" customFormat="1" ht="13.95" customHeight="1" x14ac:dyDescent="0.3">
      <c r="A64" s="146"/>
    </row>
    <row r="65" spans="1:12" s="86" customFormat="1" ht="13.95" customHeight="1" x14ac:dyDescent="0.3"/>
    <row r="66" spans="1:12" s="86" customFormat="1" ht="13.95" customHeight="1" x14ac:dyDescent="0.3"/>
    <row r="67" spans="1:12" s="86" customFormat="1" ht="13.95" customHeight="1" x14ac:dyDescent="0.3"/>
    <row r="68" spans="1:12" s="86" customFormat="1" ht="13.95" customHeight="1" x14ac:dyDescent="0.3">
      <c r="A68" s="147"/>
      <c r="B68" s="68" t="s">
        <v>283</v>
      </c>
      <c r="D68" s="68" t="s">
        <v>284</v>
      </c>
      <c r="H68" s="68" t="s">
        <v>285</v>
      </c>
    </row>
    <row r="69" spans="1:12" s="86" customFormat="1" ht="18" customHeight="1" x14ac:dyDescent="0.3">
      <c r="I69" s="66"/>
      <c r="J69" s="66"/>
      <c r="K69" s="66"/>
      <c r="L69" s="66"/>
    </row>
    <row r="70" spans="1:12" s="86" customFormat="1" ht="18" customHeight="1" x14ac:dyDescent="0.3">
      <c r="A70" s="147"/>
      <c r="I70" s="66"/>
      <c r="J70" s="66"/>
      <c r="K70" s="66"/>
      <c r="L70" s="66"/>
    </row>
    <row r="71" spans="1:12" s="86" customFormat="1" ht="18" customHeight="1" x14ac:dyDescent="0.3">
      <c r="I71" s="66"/>
      <c r="J71" s="66"/>
      <c r="K71" s="66"/>
      <c r="L71" s="66"/>
    </row>
    <row r="72" spans="1:12" ht="18" customHeight="1" x14ac:dyDescent="0.3"/>
    <row r="73" spans="1:12" ht="18" customHeight="1" x14ac:dyDescent="0.3"/>
    <row r="74" spans="1:12" ht="18" customHeight="1" x14ac:dyDescent="0.3"/>
    <row r="75" spans="1:12" ht="18" customHeight="1" x14ac:dyDescent="0.3"/>
    <row r="76" spans="1:12" ht="18" customHeight="1" x14ac:dyDescent="0.3"/>
  </sheetData>
  <mergeCells count="4">
    <mergeCell ref="A2:J2"/>
    <mergeCell ref="A3:J3"/>
    <mergeCell ref="B4:E4"/>
    <mergeCell ref="H47:I47"/>
  </mergeCells>
  <printOptions horizontalCentered="1"/>
  <pageMargins left="0.5" right="0.5" top="0.5" bottom="0.5" header="0" footer="0"/>
  <pageSetup scale="70" orientation="portrait" horizontalDpi="4294967292" verticalDpi="4294967292" r:id="rId1"/>
  <headerFooter>
    <oddFooter>&amp;L&amp;K000000_x000D_14.333 Geotechnical Laboratory&amp;C&amp;K000000_x000D_Revised 01/12&amp;R&amp;K000000_x000D___ of __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6">
    <pageSetUpPr fitToPage="1"/>
  </sheetPr>
  <dimension ref="A2:P76"/>
  <sheetViews>
    <sheetView view="pageBreakPreview" topLeftCell="B19" zoomScale="130" zoomScaleNormal="175" zoomScaleSheetLayoutView="130" zoomScalePageLayoutView="175" workbookViewId="0">
      <selection activeCell="M31" sqref="M31"/>
    </sheetView>
  </sheetViews>
  <sheetFormatPr defaultColWidth="6.6640625" defaultRowHeight="16.2" customHeight="1" x14ac:dyDescent="0.3"/>
  <cols>
    <col min="1" max="1" width="12.6640625" style="66" customWidth="1"/>
    <col min="2" max="2" width="18.88671875" style="66" customWidth="1"/>
    <col min="3" max="7" width="12.6640625" style="66" customWidth="1"/>
    <col min="8" max="8" width="12.88671875" style="66" customWidth="1"/>
    <col min="9" max="9" width="10.44140625" style="66" customWidth="1"/>
    <col min="10" max="10" width="8" style="66" customWidth="1"/>
    <col min="11" max="13" width="6.6640625" style="66"/>
    <col min="14" max="14" width="8.44140625" style="66" bestFit="1" customWidth="1"/>
    <col min="15" max="16384" width="6.6640625" style="66"/>
  </cols>
  <sheetData>
    <row r="2" spans="1:10" ht="18" customHeight="1" x14ac:dyDescent="0.3">
      <c r="A2" s="182" t="s">
        <v>212</v>
      </c>
      <c r="B2" s="182"/>
      <c r="C2" s="182"/>
      <c r="D2" s="182"/>
      <c r="E2" s="182"/>
      <c r="F2" s="182"/>
      <c r="G2" s="182"/>
      <c r="H2" s="182"/>
      <c r="I2" s="182"/>
      <c r="J2" s="182"/>
    </row>
    <row r="3" spans="1:10" s="67" customFormat="1" ht="18" customHeight="1" x14ac:dyDescent="0.3">
      <c r="A3" s="183" t="s">
        <v>213</v>
      </c>
      <c r="B3" s="183"/>
      <c r="C3" s="183"/>
      <c r="D3" s="183"/>
      <c r="E3" s="183"/>
      <c r="F3" s="183"/>
      <c r="G3" s="183"/>
      <c r="H3" s="183"/>
      <c r="I3" s="183"/>
      <c r="J3" s="183"/>
    </row>
    <row r="4" spans="1:10" ht="40.950000000000003" customHeight="1" x14ac:dyDescent="0.3">
      <c r="A4" s="68" t="s">
        <v>214</v>
      </c>
      <c r="B4" s="185" t="s">
        <v>286</v>
      </c>
      <c r="C4" s="185"/>
      <c r="D4" s="185"/>
      <c r="E4" s="185"/>
      <c r="G4" s="68" t="s">
        <v>215</v>
      </c>
      <c r="H4" s="71"/>
      <c r="I4" s="68"/>
    </row>
    <row r="5" spans="1:10" ht="13.95" customHeight="1" x14ac:dyDescent="0.3">
      <c r="A5" s="68" t="s">
        <v>216</v>
      </c>
      <c r="B5" s="72" t="s">
        <v>287</v>
      </c>
      <c r="C5" s="72"/>
      <c r="D5" s="73"/>
      <c r="G5" s="68" t="s">
        <v>217</v>
      </c>
      <c r="H5" s="72" t="s">
        <v>289</v>
      </c>
      <c r="I5" s="68"/>
    </row>
    <row r="6" spans="1:10" ht="13.95" customHeight="1" x14ac:dyDescent="0.3">
      <c r="A6" s="68" t="s">
        <v>218</v>
      </c>
      <c r="B6" s="72" t="s">
        <v>293</v>
      </c>
      <c r="C6" s="72"/>
      <c r="D6" s="73"/>
      <c r="G6" s="68" t="s">
        <v>219</v>
      </c>
      <c r="H6" s="72"/>
    </row>
    <row r="7" spans="1:10" ht="13.95" customHeight="1" x14ac:dyDescent="0.3">
      <c r="A7" s="74"/>
      <c r="B7" s="75"/>
      <c r="C7" s="76"/>
      <c r="D7" s="76"/>
      <c r="E7" s="74"/>
      <c r="F7" s="75"/>
      <c r="G7" s="77"/>
      <c r="H7" s="77"/>
      <c r="I7" s="74"/>
      <c r="J7" s="74"/>
    </row>
    <row r="8" spans="1:10" ht="13.95" customHeight="1" x14ac:dyDescent="0.3">
      <c r="A8" s="78" t="s">
        <v>220</v>
      </c>
      <c r="B8" s="68"/>
      <c r="D8" s="78" t="s">
        <v>221</v>
      </c>
      <c r="F8" s="68"/>
      <c r="G8" s="79"/>
      <c r="H8" s="78" t="s">
        <v>222</v>
      </c>
    </row>
    <row r="9" spans="1:10" ht="13.95" customHeight="1" x14ac:dyDescent="0.3">
      <c r="A9" s="80" t="s">
        <v>223</v>
      </c>
      <c r="B9" s="70"/>
      <c r="D9" s="81"/>
      <c r="E9" s="82" t="s">
        <v>224</v>
      </c>
      <c r="F9" s="69"/>
      <c r="H9" s="82"/>
      <c r="I9" s="82" t="s">
        <v>224</v>
      </c>
      <c r="J9" s="69"/>
    </row>
    <row r="10" spans="1:10" ht="13.95" customHeight="1" x14ac:dyDescent="0.3">
      <c r="A10" s="80" t="s">
        <v>225</v>
      </c>
      <c r="B10" s="70"/>
      <c r="D10" s="82"/>
      <c r="E10" s="82" t="s">
        <v>226</v>
      </c>
      <c r="F10" s="83"/>
      <c r="H10" s="79"/>
      <c r="I10" s="82" t="s">
        <v>227</v>
      </c>
      <c r="J10" s="69"/>
    </row>
    <row r="11" spans="1:10" ht="13.95" customHeight="1" x14ac:dyDescent="0.3">
      <c r="A11" s="80" t="s">
        <v>228</v>
      </c>
      <c r="B11" s="70"/>
      <c r="C11" s="81"/>
      <c r="D11" s="81"/>
      <c r="E11" s="82" t="s">
        <v>229</v>
      </c>
      <c r="F11" s="83"/>
      <c r="H11" s="79"/>
      <c r="I11" s="82" t="s">
        <v>230</v>
      </c>
      <c r="J11" s="69"/>
    </row>
    <row r="12" spans="1:10" ht="13.95" customHeight="1" x14ac:dyDescent="0.3">
      <c r="B12" s="68"/>
      <c r="C12" s="81"/>
      <c r="D12" s="81"/>
      <c r="E12" s="82" t="s">
        <v>231</v>
      </c>
      <c r="F12" s="83"/>
      <c r="H12" s="79"/>
      <c r="I12" s="82" t="s">
        <v>232</v>
      </c>
      <c r="J12" s="69"/>
    </row>
    <row r="13" spans="1:10" ht="13.95" customHeight="1" x14ac:dyDescent="0.3">
      <c r="A13" s="78" t="s">
        <v>233</v>
      </c>
      <c r="E13" s="82" t="s">
        <v>234</v>
      </c>
      <c r="F13" s="83"/>
      <c r="I13" s="82" t="s">
        <v>235</v>
      </c>
      <c r="J13" s="69"/>
    </row>
    <row r="14" spans="1:10" ht="13.5" customHeight="1" x14ac:dyDescent="0.3">
      <c r="A14" s="78"/>
      <c r="E14" s="82" t="s">
        <v>236</v>
      </c>
      <c r="F14" s="83">
        <f>'Gravemetric Moisture Content'!G45</f>
        <v>87.812998348520509</v>
      </c>
    </row>
    <row r="15" spans="1:10" ht="13.95" customHeight="1" x14ac:dyDescent="0.3">
      <c r="A15" s="74"/>
      <c r="B15" s="75"/>
      <c r="C15" s="74"/>
      <c r="D15" s="74"/>
      <c r="E15" s="74"/>
      <c r="F15" s="74"/>
      <c r="G15" s="74"/>
      <c r="H15" s="74"/>
      <c r="I15" s="74"/>
      <c r="J15" s="74"/>
    </row>
    <row r="16" spans="1:10" ht="13.95" customHeight="1" x14ac:dyDescent="0.3">
      <c r="A16" s="84" t="s">
        <v>237</v>
      </c>
      <c r="B16" s="85"/>
      <c r="C16" s="85"/>
      <c r="D16" s="85"/>
      <c r="E16" s="85"/>
      <c r="F16" s="85"/>
      <c r="G16" s="85"/>
      <c r="H16" s="85"/>
      <c r="I16" s="85"/>
      <c r="J16" s="85"/>
    </row>
    <row r="17" spans="1:15" ht="13.95" customHeight="1" x14ac:dyDescent="0.3">
      <c r="A17" s="78" t="s">
        <v>238</v>
      </c>
      <c r="B17" s="82"/>
      <c r="C17" s="86"/>
      <c r="D17" s="87" t="s">
        <v>239</v>
      </c>
      <c r="E17" s="86"/>
      <c r="G17" s="88" t="s">
        <v>240</v>
      </c>
      <c r="H17" s="86" t="s">
        <v>241</v>
      </c>
      <c r="I17" s="86"/>
      <c r="J17" s="86"/>
    </row>
    <row r="18" spans="1:15" ht="13.95" customHeight="1" x14ac:dyDescent="0.3">
      <c r="A18" s="78" t="s">
        <v>242</v>
      </c>
      <c r="B18" s="88" t="s">
        <v>243</v>
      </c>
      <c r="C18" s="86"/>
      <c r="E18" s="87" t="s">
        <v>244</v>
      </c>
      <c r="F18" s="86"/>
      <c r="G18" s="89">
        <v>5</v>
      </c>
      <c r="H18" s="86"/>
      <c r="I18" s="86"/>
      <c r="J18" s="86"/>
    </row>
    <row r="19" spans="1:15" s="86" customFormat="1" ht="10.95" customHeight="1" x14ac:dyDescent="0.3">
      <c r="A19" s="78"/>
      <c r="B19" s="90" t="s">
        <v>245</v>
      </c>
      <c r="D19" s="87" t="s">
        <v>246</v>
      </c>
      <c r="F19" s="91"/>
      <c r="G19" s="88" t="s">
        <v>247</v>
      </c>
      <c r="H19" s="91"/>
    </row>
    <row r="20" spans="1:15" s="86" customFormat="1" ht="10.95" customHeight="1" x14ac:dyDescent="0.3">
      <c r="A20" s="92"/>
      <c r="B20" s="74"/>
      <c r="C20" s="74"/>
      <c r="D20" s="93"/>
      <c r="E20" s="74"/>
      <c r="F20" s="74"/>
      <c r="G20" s="74"/>
      <c r="H20" s="74"/>
      <c r="I20" s="74"/>
      <c r="J20" s="74"/>
    </row>
    <row r="21" spans="1:15" s="86" customFormat="1" ht="13.95" customHeight="1" x14ac:dyDescent="0.3">
      <c r="A21" s="78" t="s">
        <v>248</v>
      </c>
      <c r="H21" s="87" t="s">
        <v>249</v>
      </c>
    </row>
    <row r="22" spans="1:15" s="86" customFormat="1" ht="13.95" customHeight="1" x14ac:dyDescent="0.3">
      <c r="A22" s="78" t="s">
        <v>250</v>
      </c>
      <c r="B22" s="88" t="s">
        <v>251</v>
      </c>
      <c r="I22" s="82" t="s">
        <v>252</v>
      </c>
    </row>
    <row r="23" spans="1:15" s="86" customFormat="1" ht="13.95" customHeight="1" x14ac:dyDescent="0.3">
      <c r="A23" s="78"/>
      <c r="I23" s="82" t="s">
        <v>253</v>
      </c>
    </row>
    <row r="24" spans="1:15" s="86" customFormat="1" ht="13.95" customHeight="1" x14ac:dyDescent="0.3">
      <c r="A24" s="78" t="s">
        <v>254</v>
      </c>
      <c r="I24" s="82" t="s">
        <v>255</v>
      </c>
    </row>
    <row r="25" spans="1:15" s="86" customFormat="1" ht="13.95" customHeight="1" x14ac:dyDescent="0.3">
      <c r="A25" s="78" t="s">
        <v>256</v>
      </c>
      <c r="B25" s="94">
        <v>43844</v>
      </c>
      <c r="C25" s="82"/>
      <c r="D25" s="87"/>
      <c r="E25" s="82"/>
      <c r="F25" s="95"/>
      <c r="I25" s="82" t="s">
        <v>257</v>
      </c>
    </row>
    <row r="26" spans="1:15" s="86" customFormat="1" ht="13.95" customHeight="1" x14ac:dyDescent="0.3">
      <c r="A26" s="78" t="s">
        <v>258</v>
      </c>
      <c r="B26" s="149">
        <v>43844.333333333336</v>
      </c>
      <c r="F26" s="82"/>
      <c r="I26" s="82" t="s">
        <v>259</v>
      </c>
    </row>
    <row r="27" spans="1:15" s="86" customFormat="1" ht="13.95" customHeight="1" x14ac:dyDescent="0.3">
      <c r="A27" s="78"/>
      <c r="F27" s="82"/>
      <c r="H27" s="82" t="s">
        <v>260</v>
      </c>
      <c r="N27" s="86">
        <f>4+(0.01248*29)+(0.00795*29^2)</f>
        <v>11.04787</v>
      </c>
      <c r="O27" s="87" t="s">
        <v>6</v>
      </c>
    </row>
    <row r="28" spans="1:15" s="86" customFormat="1" ht="13.95" customHeight="1" x14ac:dyDescent="0.3">
      <c r="A28" s="78"/>
      <c r="B28" s="87"/>
      <c r="G28" s="87" t="s">
        <v>261</v>
      </c>
      <c r="I28" s="88" t="s">
        <v>262</v>
      </c>
      <c r="J28" s="86">
        <f>'Specific Gravity Tests'!B147</f>
        <v>2.6447718788083572</v>
      </c>
      <c r="O28" s="87" t="s">
        <v>263</v>
      </c>
    </row>
    <row r="29" spans="1:15" s="86" customFormat="1" ht="10.95" customHeight="1" thickBot="1" x14ac:dyDescent="0.35"/>
    <row r="30" spans="1:15" s="97" customFormat="1" ht="54" customHeight="1" x14ac:dyDescent="0.3">
      <c r="B30" s="98" t="s">
        <v>264</v>
      </c>
      <c r="C30" s="99" t="s">
        <v>265</v>
      </c>
      <c r="D30" s="100" t="s">
        <v>266</v>
      </c>
      <c r="E30" s="101" t="s">
        <v>267</v>
      </c>
      <c r="F30" s="101" t="s">
        <v>268</v>
      </c>
      <c r="G30" s="101" t="s">
        <v>269</v>
      </c>
      <c r="H30" s="102" t="s">
        <v>270</v>
      </c>
      <c r="J30" s="103"/>
      <c r="K30" s="104"/>
      <c r="L30" s="104"/>
    </row>
    <row r="31" spans="1:15" s="87" customFormat="1" ht="13.95" customHeight="1" x14ac:dyDescent="0.3">
      <c r="B31" s="105">
        <v>0.1</v>
      </c>
      <c r="C31" s="106">
        <v>42</v>
      </c>
      <c r="D31" s="107">
        <v>27</v>
      </c>
      <c r="E31" s="108">
        <f t="shared" ref="E31:E39" si="0">$N$27+(((0.01248*D31)-((0.00795)*D31^2)))</f>
        <v>5.5892799999999996</v>
      </c>
      <c r="F31" s="109">
        <f t="shared" ref="F31:F39" si="1">7.8+(((18.8-7.8)/(60+5))*(60-C31+$N$31))-($N$32/$N$33)</f>
        <v>9.1502876260264667</v>
      </c>
      <c r="G31" s="110">
        <f>(SQRT(((18*0.01)/(0.99821*980.7*($J$28-1))*(F31/(B31*60)))*10))</f>
        <v>4.1290117462694911E-2</v>
      </c>
      <c r="H31" s="111">
        <f t="shared" ref="H31:H39" si="2">0.6226*($J$28/($J$28-1))*((50/$F$14)*(C31-E31))*(100/1000)</f>
        <v>2.0755448756205048</v>
      </c>
      <c r="J31" s="103"/>
      <c r="K31" s="112"/>
      <c r="L31" s="112"/>
      <c r="N31" s="87">
        <v>1</v>
      </c>
      <c r="O31" s="90" t="s">
        <v>271</v>
      </c>
    </row>
    <row r="32" spans="1:15" s="87" customFormat="1" ht="13.95" customHeight="1" x14ac:dyDescent="0.3">
      <c r="B32" s="113">
        <v>1</v>
      </c>
      <c r="C32" s="114">
        <v>41</v>
      </c>
      <c r="D32" s="107">
        <v>27</v>
      </c>
      <c r="E32" s="108">
        <f t="shared" si="0"/>
        <v>5.5892799999999996</v>
      </c>
      <c r="F32" s="109">
        <f t="shared" si="1"/>
        <v>9.3195183952572354</v>
      </c>
      <c r="G32" s="110">
        <f t="shared" ref="G32:G39" si="3">(SQRT(((18*0.01)/(0.99821*980.7*($J$28-1))*(F32/(B32*60)))*10))</f>
        <v>1.3177271086708518E-2</v>
      </c>
      <c r="H32" s="111">
        <f t="shared" si="2"/>
        <v>2.0185411999002638</v>
      </c>
      <c r="J32" s="103"/>
      <c r="K32" s="112"/>
      <c r="L32" s="112"/>
      <c r="N32" s="87">
        <v>60</v>
      </c>
      <c r="O32" s="90" t="s">
        <v>272</v>
      </c>
    </row>
    <row r="33" spans="1:16" s="87" customFormat="1" ht="13.95" customHeight="1" x14ac:dyDescent="0.3">
      <c r="B33" s="113">
        <v>2</v>
      </c>
      <c r="C33" s="114">
        <v>39</v>
      </c>
      <c r="D33" s="107">
        <v>27</v>
      </c>
      <c r="E33" s="108">
        <f t="shared" si="0"/>
        <v>5.5892799999999996</v>
      </c>
      <c r="F33" s="109">
        <f t="shared" si="1"/>
        <v>9.6579799337187744</v>
      </c>
      <c r="G33" s="110">
        <f t="shared" si="3"/>
        <v>9.4854272402771656E-3</v>
      </c>
      <c r="H33" s="111">
        <f t="shared" si="2"/>
        <v>1.9045338484597811</v>
      </c>
      <c r="J33" s="103"/>
      <c r="K33" s="112"/>
      <c r="L33" s="112"/>
      <c r="N33" s="87">
        <f>(PI()*6.4^2)/4</f>
        <v>32.169908772759484</v>
      </c>
      <c r="O33" s="90" t="s">
        <v>273</v>
      </c>
    </row>
    <row r="34" spans="1:16" s="87" customFormat="1" ht="13.95" customHeight="1" x14ac:dyDescent="0.3">
      <c r="B34" s="113">
        <v>4</v>
      </c>
      <c r="C34" s="114">
        <v>35</v>
      </c>
      <c r="D34" s="107">
        <v>27</v>
      </c>
      <c r="E34" s="108">
        <f t="shared" si="0"/>
        <v>5.5892799999999996</v>
      </c>
      <c r="F34" s="109">
        <f t="shared" si="1"/>
        <v>10.334903010641851</v>
      </c>
      <c r="G34" s="110">
        <f t="shared" si="3"/>
        <v>6.9382820820132422E-3</v>
      </c>
      <c r="H34" s="111">
        <f t="shared" si="2"/>
        <v>1.676519145578816</v>
      </c>
      <c r="J34" s="103"/>
      <c r="K34" s="112"/>
      <c r="L34" s="112"/>
      <c r="O34" s="90"/>
    </row>
    <row r="35" spans="1:16" s="87" customFormat="1" ht="13.95" customHeight="1" x14ac:dyDescent="0.3">
      <c r="B35" s="113">
        <v>15</v>
      </c>
      <c r="C35" s="114">
        <v>31</v>
      </c>
      <c r="D35" s="107">
        <v>27</v>
      </c>
      <c r="E35" s="108">
        <f t="shared" si="0"/>
        <v>5.5892799999999996</v>
      </c>
      <c r="F35" s="109">
        <f t="shared" si="1"/>
        <v>11.011826087564929</v>
      </c>
      <c r="G35" s="110">
        <f t="shared" si="3"/>
        <v>3.6983906962849292E-3</v>
      </c>
      <c r="H35" s="111">
        <f t="shared" si="2"/>
        <v>1.4485044426978506</v>
      </c>
      <c r="J35" s="103"/>
      <c r="K35" s="112"/>
      <c r="L35" s="112"/>
      <c r="O35" s="90" t="s">
        <v>274</v>
      </c>
      <c r="P35" s="90"/>
    </row>
    <row r="36" spans="1:16" s="87" customFormat="1" ht="13.95" customHeight="1" x14ac:dyDescent="0.3">
      <c r="B36" s="113">
        <v>30</v>
      </c>
      <c r="C36" s="106">
        <v>30</v>
      </c>
      <c r="D36" s="107">
        <v>27</v>
      </c>
      <c r="E36" s="108">
        <f t="shared" si="0"/>
        <v>5.5892799999999996</v>
      </c>
      <c r="F36" s="109">
        <f t="shared" si="1"/>
        <v>11.181056856795697</v>
      </c>
      <c r="G36" s="110">
        <f t="shared" si="3"/>
        <v>2.6351755123064941E-3</v>
      </c>
      <c r="H36" s="111">
        <f t="shared" si="2"/>
        <v>1.3915007669776094</v>
      </c>
      <c r="J36" s="103"/>
      <c r="K36" s="112"/>
      <c r="L36" s="112"/>
      <c r="P36" s="90"/>
    </row>
    <row r="37" spans="1:16" s="87" customFormat="1" ht="13.95" customHeight="1" x14ac:dyDescent="0.3">
      <c r="B37" s="113">
        <v>60</v>
      </c>
      <c r="C37" s="106">
        <v>30</v>
      </c>
      <c r="D37" s="107">
        <v>27</v>
      </c>
      <c r="E37" s="108">
        <f t="shared" si="0"/>
        <v>5.5892799999999996</v>
      </c>
      <c r="F37" s="109">
        <f t="shared" si="1"/>
        <v>11.181056856795697</v>
      </c>
      <c r="G37" s="110">
        <f t="shared" si="3"/>
        <v>1.8633504743686563E-3</v>
      </c>
      <c r="H37" s="111">
        <f t="shared" si="2"/>
        <v>1.3915007669776094</v>
      </c>
      <c r="J37" s="103"/>
      <c r="K37" s="112"/>
      <c r="L37" s="112"/>
      <c r="N37" s="95">
        <v>1000</v>
      </c>
      <c r="O37" s="90" t="s">
        <v>275</v>
      </c>
      <c r="P37" s="90"/>
    </row>
    <row r="38" spans="1:16" s="87" customFormat="1" ht="13.95" customHeight="1" x14ac:dyDescent="0.3">
      <c r="B38" s="113">
        <v>240</v>
      </c>
      <c r="C38" s="106">
        <v>25</v>
      </c>
      <c r="D38" s="107">
        <v>27</v>
      </c>
      <c r="E38" s="108">
        <f t="shared" si="0"/>
        <v>5.5892799999999996</v>
      </c>
      <c r="F38" s="109">
        <f t="shared" si="1"/>
        <v>12.027210702949544</v>
      </c>
      <c r="G38" s="110">
        <f t="shared" si="3"/>
        <v>9.6628577088001325E-4</v>
      </c>
      <c r="H38" s="111">
        <f t="shared" si="2"/>
        <v>1.1064823883764028</v>
      </c>
      <c r="J38" s="103"/>
      <c r="K38" s="112"/>
      <c r="L38" s="112"/>
      <c r="O38" s="90" t="s">
        <v>276</v>
      </c>
    </row>
    <row r="39" spans="1:16" s="86" customFormat="1" ht="13.95" customHeight="1" x14ac:dyDescent="0.3">
      <c r="B39" s="113">
        <v>1440</v>
      </c>
      <c r="C39" s="106">
        <v>21</v>
      </c>
      <c r="D39" s="107">
        <v>27</v>
      </c>
      <c r="E39" s="108">
        <f t="shared" si="0"/>
        <v>5.5892799999999996</v>
      </c>
      <c r="F39" s="109">
        <f t="shared" si="1"/>
        <v>12.704133779872622</v>
      </c>
      <c r="G39" s="110">
        <f t="shared" si="3"/>
        <v>4.0543387166165325E-4</v>
      </c>
      <c r="H39" s="111">
        <f t="shared" si="2"/>
        <v>0.87846768549543752</v>
      </c>
      <c r="J39" s="103"/>
      <c r="O39" s="90" t="s">
        <v>277</v>
      </c>
    </row>
    <row r="40" spans="1:16" s="86" customFormat="1" ht="13.95" customHeight="1" x14ac:dyDescent="0.3">
      <c r="B40" s="113"/>
      <c r="C40" s="106"/>
      <c r="D40" s="111"/>
      <c r="E40" s="108"/>
      <c r="F40" s="109"/>
      <c r="G40" s="110"/>
      <c r="H40" s="111"/>
      <c r="J40" s="103"/>
      <c r="O40" s="90" t="s">
        <v>278</v>
      </c>
    </row>
    <row r="41" spans="1:16" s="86" customFormat="1" ht="13.95" customHeight="1" thickBot="1" x14ac:dyDescent="0.35">
      <c r="B41" s="115"/>
      <c r="C41" s="116"/>
      <c r="D41" s="111"/>
      <c r="E41" s="108"/>
      <c r="F41" s="117"/>
      <c r="G41" s="118"/>
      <c r="H41" s="111"/>
      <c r="J41" s="119"/>
    </row>
    <row r="42" spans="1:16" s="86" customFormat="1" ht="13.95" customHeight="1" x14ac:dyDescent="0.3">
      <c r="A42" s="120"/>
      <c r="B42" s="77"/>
      <c r="C42" s="121"/>
      <c r="D42" s="121"/>
      <c r="E42" s="77"/>
      <c r="F42" s="122"/>
      <c r="G42" s="123"/>
      <c r="H42" s="77"/>
      <c r="I42" s="124"/>
      <c r="J42" s="125"/>
    </row>
    <row r="43" spans="1:16" s="86" customFormat="1" ht="13.95" customHeight="1" thickBot="1" x14ac:dyDescent="0.35">
      <c r="A43" s="126"/>
      <c r="B43" s="127"/>
      <c r="C43" s="128"/>
      <c r="D43" s="128"/>
      <c r="E43" s="127"/>
      <c r="F43" s="129"/>
      <c r="G43" s="130"/>
      <c r="H43" s="127"/>
      <c r="I43" s="131"/>
      <c r="J43" s="132"/>
    </row>
    <row r="44" spans="1:16" s="86" customFormat="1" ht="13.95" customHeight="1" x14ac:dyDescent="0.3">
      <c r="A44" s="133"/>
      <c r="C44" s="97"/>
      <c r="D44" s="97"/>
      <c r="E44" s="97"/>
      <c r="F44" s="97"/>
      <c r="G44" s="97"/>
      <c r="H44" s="134"/>
      <c r="I44" s="134"/>
      <c r="J44" s="103"/>
    </row>
    <row r="45" spans="1:16" s="86" customFormat="1" ht="13.95" customHeight="1" x14ac:dyDescent="0.3">
      <c r="A45" s="133"/>
      <c r="C45" s="97"/>
      <c r="D45" s="97"/>
      <c r="E45" s="97"/>
      <c r="F45" s="97"/>
      <c r="G45" s="97"/>
      <c r="H45" s="134"/>
      <c r="I45" s="134"/>
      <c r="J45" s="103"/>
    </row>
    <row r="46" spans="1:16" s="86" customFormat="1" ht="13.95" customHeight="1" x14ac:dyDescent="0.3">
      <c r="A46" s="97" t="s">
        <v>279</v>
      </c>
      <c r="B46" s="97" t="s">
        <v>280</v>
      </c>
      <c r="C46" s="135">
        <f t="shared" ref="C46:C50" si="4">J53</f>
        <v>100</v>
      </c>
      <c r="D46" s="135" t="e">
        <f>#REF!</f>
        <v>#REF!</v>
      </c>
      <c r="F46" s="97"/>
      <c r="G46" s="97">
        <v>9</v>
      </c>
      <c r="H46" s="134"/>
    </row>
    <row r="47" spans="1:16" s="86" customFormat="1" ht="13.95" customHeight="1" x14ac:dyDescent="0.3">
      <c r="A47" s="97"/>
      <c r="B47" s="97"/>
      <c r="C47" s="135">
        <f t="shared" si="4"/>
        <v>98.87299999999999</v>
      </c>
      <c r="D47" s="135" t="e">
        <f>#REF!</f>
        <v>#REF!</v>
      </c>
      <c r="F47" s="97"/>
      <c r="G47" s="97"/>
      <c r="H47" s="184" t="s">
        <v>281</v>
      </c>
      <c r="I47" s="184"/>
      <c r="J47" s="136"/>
    </row>
    <row r="48" spans="1:16" s="86" customFormat="1" ht="13.95" customHeight="1" thickBot="1" x14ac:dyDescent="0.35">
      <c r="A48" s="97">
        <v>4</v>
      </c>
      <c r="B48" s="97">
        <v>4.75</v>
      </c>
      <c r="C48" s="135">
        <f t="shared" si="4"/>
        <v>2.0755448756205048</v>
      </c>
      <c r="D48" s="135" t="e">
        <f>#REF!</f>
        <v>#REF!</v>
      </c>
      <c r="F48" s="97"/>
      <c r="G48" s="97"/>
      <c r="H48" s="134"/>
      <c r="I48" s="136"/>
      <c r="J48" s="136"/>
    </row>
    <row r="49" spans="1:10" s="86" customFormat="1" ht="13.95" customHeight="1" thickBot="1" x14ac:dyDescent="0.35">
      <c r="A49" s="97">
        <v>10</v>
      </c>
      <c r="B49" s="97">
        <v>2</v>
      </c>
      <c r="C49" s="135">
        <f t="shared" si="4"/>
        <v>0</v>
      </c>
      <c r="D49" s="135" t="e">
        <f>#REF!</f>
        <v>#REF!</v>
      </c>
      <c r="F49" s="97"/>
      <c r="G49" s="97"/>
      <c r="H49" s="137" t="s">
        <v>279</v>
      </c>
      <c r="I49" s="137" t="s">
        <v>269</v>
      </c>
      <c r="J49" s="137" t="s">
        <v>282</v>
      </c>
    </row>
    <row r="50" spans="1:10" s="86" customFormat="1" ht="13.95" customHeight="1" x14ac:dyDescent="0.3">
      <c r="A50" s="97">
        <v>40</v>
      </c>
      <c r="B50" s="97">
        <v>0.42499999999999999</v>
      </c>
      <c r="C50" s="135">
        <f t="shared" si="4"/>
        <v>0</v>
      </c>
      <c r="D50" s="135" t="e">
        <f>#REF!</f>
        <v>#REF!</v>
      </c>
      <c r="F50" s="97"/>
      <c r="G50" s="97"/>
      <c r="H50" s="138">
        <v>4</v>
      </c>
      <c r="I50" s="138">
        <v>4.75</v>
      </c>
      <c r="J50" s="138">
        <v>100</v>
      </c>
    </row>
    <row r="51" spans="1:10" s="86" customFormat="1" ht="13.95" customHeight="1" x14ac:dyDescent="0.3">
      <c r="A51" s="97">
        <v>200</v>
      </c>
      <c r="B51" s="97">
        <v>7.4999999999999997E-2</v>
      </c>
      <c r="C51" s="135">
        <f t="shared" ref="C51:C59" si="5">G31</f>
        <v>4.1290117462694911E-2</v>
      </c>
      <c r="D51" s="139" t="e">
        <f>#REF!</f>
        <v>#REF!</v>
      </c>
      <c r="F51" s="97"/>
      <c r="G51" s="97"/>
      <c r="H51" s="140">
        <v>10</v>
      </c>
      <c r="I51" s="140">
        <v>2</v>
      </c>
      <c r="J51" s="140">
        <v>100</v>
      </c>
    </row>
    <row r="52" spans="1:10" s="86" customFormat="1" ht="13.95" customHeight="1" x14ac:dyDescent="0.3">
      <c r="A52" s="133"/>
      <c r="B52" s="141"/>
      <c r="C52" s="135">
        <f t="shared" si="5"/>
        <v>1.3177271086708518E-2</v>
      </c>
      <c r="D52" s="139" t="e">
        <f>#REF!</f>
        <v>#REF!</v>
      </c>
      <c r="E52" s="97"/>
      <c r="F52" s="97"/>
      <c r="G52" s="97"/>
      <c r="H52" s="140">
        <v>40</v>
      </c>
      <c r="I52" s="140">
        <v>0.42499999999999999</v>
      </c>
      <c r="J52" s="140">
        <v>100</v>
      </c>
    </row>
    <row r="53" spans="1:10" s="86" customFormat="1" ht="13.95" customHeight="1" x14ac:dyDescent="0.3">
      <c r="A53" s="142"/>
      <c r="B53" s="143"/>
      <c r="C53" s="135">
        <f t="shared" si="5"/>
        <v>9.4854272402771656E-3</v>
      </c>
      <c r="D53" s="139" t="e">
        <f>#REF!</f>
        <v>#REF!</v>
      </c>
      <c r="E53" s="97"/>
      <c r="F53" s="97"/>
      <c r="G53" s="97"/>
      <c r="H53" s="140">
        <v>100</v>
      </c>
      <c r="I53" s="140">
        <v>0.15</v>
      </c>
      <c r="J53" s="140">
        <v>100</v>
      </c>
    </row>
    <row r="54" spans="1:10" s="86" customFormat="1" ht="13.95" customHeight="1" thickBot="1" x14ac:dyDescent="0.35">
      <c r="A54" s="133"/>
      <c r="B54" s="141"/>
      <c r="C54" s="135">
        <f t="shared" si="5"/>
        <v>6.9382820820132422E-3</v>
      </c>
      <c r="D54" s="139" t="e">
        <f>#REF!</f>
        <v>#REF!</v>
      </c>
      <c r="E54" s="97"/>
      <c r="F54" s="97"/>
      <c r="G54" s="97"/>
      <c r="H54" s="144">
        <v>200</v>
      </c>
      <c r="I54" s="144">
        <v>7.4999999999999997E-2</v>
      </c>
      <c r="J54" s="144">
        <f>'Sieve Analysis'!D56</f>
        <v>98.87299999999999</v>
      </c>
    </row>
    <row r="55" spans="1:10" s="86" customFormat="1" ht="13.95" customHeight="1" x14ac:dyDescent="0.3">
      <c r="A55" s="133"/>
      <c r="B55" s="141"/>
      <c r="C55" s="135">
        <f t="shared" si="5"/>
        <v>3.6983906962849292E-3</v>
      </c>
      <c r="D55" s="139" t="e">
        <f>#REF!</f>
        <v>#REF!</v>
      </c>
      <c r="E55" s="97"/>
      <c r="F55" s="97"/>
      <c r="G55" s="97"/>
      <c r="H55" s="134" t="s">
        <v>300</v>
      </c>
      <c r="I55" s="86">
        <v>4.1290117462694911E-2</v>
      </c>
      <c r="J55" s="86">
        <v>2.0755448756205048</v>
      </c>
    </row>
    <row r="56" spans="1:10" s="86" customFormat="1" ht="13.95" customHeight="1" x14ac:dyDescent="0.3">
      <c r="A56" s="133"/>
      <c r="B56" s="96"/>
      <c r="C56" s="135">
        <f t="shared" si="5"/>
        <v>2.6351755123064941E-3</v>
      </c>
      <c r="D56" s="139" t="e">
        <f>#REF!</f>
        <v>#REF!</v>
      </c>
      <c r="E56" s="97"/>
      <c r="F56" s="97"/>
      <c r="G56" s="97"/>
      <c r="H56" s="134"/>
      <c r="I56" s="134"/>
      <c r="J56" s="134"/>
    </row>
    <row r="57" spans="1:10" s="86" customFormat="1" ht="13.95" customHeight="1" x14ac:dyDescent="0.3">
      <c r="A57" s="133"/>
      <c r="B57" s="141"/>
      <c r="C57" s="135">
        <f t="shared" si="5"/>
        <v>1.8633504743686563E-3</v>
      </c>
      <c r="D57" s="139" t="e">
        <f>#REF!</f>
        <v>#REF!</v>
      </c>
      <c r="E57" s="97"/>
      <c r="F57" s="97"/>
      <c r="G57" s="97"/>
      <c r="H57" s="134"/>
      <c r="I57" s="134"/>
      <c r="J57" s="134"/>
    </row>
    <row r="58" spans="1:10" s="86" customFormat="1" ht="13.95" customHeight="1" x14ac:dyDescent="0.3">
      <c r="B58" s="145"/>
      <c r="C58" s="135">
        <f t="shared" si="5"/>
        <v>9.6628577088001325E-4</v>
      </c>
      <c r="D58" s="139" t="e">
        <f>#REF!</f>
        <v>#REF!</v>
      </c>
      <c r="E58" s="97"/>
      <c r="F58" s="97"/>
      <c r="G58" s="97"/>
      <c r="H58" s="134"/>
      <c r="I58" s="134"/>
      <c r="J58" s="134"/>
    </row>
    <row r="59" spans="1:10" s="86" customFormat="1" ht="13.95" customHeight="1" x14ac:dyDescent="0.3">
      <c r="C59" s="135">
        <f t="shared" si="5"/>
        <v>4.0543387166165325E-4</v>
      </c>
      <c r="D59" s="139" t="e">
        <f>#REF!</f>
        <v>#REF!</v>
      </c>
      <c r="E59" s="97"/>
      <c r="F59" s="97"/>
      <c r="G59" s="97"/>
      <c r="H59" s="134"/>
      <c r="I59" s="134"/>
      <c r="J59" s="134"/>
    </row>
    <row r="60" spans="1:10" s="86" customFormat="1" ht="13.95" customHeight="1" x14ac:dyDescent="0.3">
      <c r="B60" s="145"/>
      <c r="C60" s="135">
        <f>G41</f>
        <v>0</v>
      </c>
      <c r="D60" s="139" t="e">
        <f>#REF!</f>
        <v>#REF!</v>
      </c>
      <c r="E60" s="97"/>
      <c r="F60" s="97"/>
      <c r="G60" s="97"/>
      <c r="H60" s="134"/>
      <c r="I60" s="134"/>
      <c r="J60" s="134"/>
    </row>
    <row r="61" spans="1:10" s="86" customFormat="1" ht="13.95" customHeight="1" x14ac:dyDescent="0.3">
      <c r="B61" s="145"/>
      <c r="C61" s="135">
        <f t="shared" ref="C61:C62" si="6">G42</f>
        <v>0</v>
      </c>
      <c r="D61" s="139" t="e">
        <f>#REF!</f>
        <v>#REF!</v>
      </c>
      <c r="E61" s="97"/>
      <c r="F61" s="97"/>
      <c r="G61" s="97"/>
      <c r="H61" s="134"/>
      <c r="I61" s="134"/>
      <c r="J61" s="134"/>
    </row>
    <row r="62" spans="1:10" s="86" customFormat="1" ht="13.95" customHeight="1" x14ac:dyDescent="0.3">
      <c r="C62" s="135">
        <f t="shared" si="6"/>
        <v>0</v>
      </c>
      <c r="D62" s="139" t="e">
        <f>#REF!</f>
        <v>#REF!</v>
      </c>
      <c r="E62" s="97"/>
      <c r="F62" s="97"/>
      <c r="G62" s="97"/>
      <c r="H62" s="134"/>
      <c r="I62" s="134"/>
      <c r="J62" s="134"/>
    </row>
    <row r="63" spans="1:10" s="86" customFormat="1" ht="13.95" customHeight="1" x14ac:dyDescent="0.3"/>
    <row r="64" spans="1:10" s="86" customFormat="1" ht="13.95" customHeight="1" x14ac:dyDescent="0.3">
      <c r="A64" s="146"/>
    </row>
    <row r="65" spans="1:12" s="86" customFormat="1" ht="13.95" customHeight="1" x14ac:dyDescent="0.3"/>
    <row r="66" spans="1:12" s="86" customFormat="1" ht="13.95" customHeight="1" x14ac:dyDescent="0.3"/>
    <row r="67" spans="1:12" s="86" customFormat="1" ht="13.95" customHeight="1" x14ac:dyDescent="0.3"/>
    <row r="68" spans="1:12" s="86" customFormat="1" ht="13.95" customHeight="1" x14ac:dyDescent="0.3">
      <c r="A68" s="147"/>
      <c r="B68" s="68" t="s">
        <v>283</v>
      </c>
      <c r="D68" s="68" t="s">
        <v>284</v>
      </c>
      <c r="H68" s="68" t="s">
        <v>285</v>
      </c>
    </row>
    <row r="69" spans="1:12" s="86" customFormat="1" ht="18" customHeight="1" x14ac:dyDescent="0.3">
      <c r="I69" s="66"/>
      <c r="J69" s="66"/>
      <c r="K69" s="66"/>
      <c r="L69" s="66"/>
    </row>
    <row r="70" spans="1:12" s="86" customFormat="1" ht="18" customHeight="1" x14ac:dyDescent="0.3">
      <c r="A70" s="147"/>
      <c r="I70" s="66"/>
      <c r="J70" s="66"/>
      <c r="K70" s="66"/>
      <c r="L70" s="66"/>
    </row>
    <row r="71" spans="1:12" s="86" customFormat="1" ht="18" customHeight="1" x14ac:dyDescent="0.3">
      <c r="I71" s="66"/>
      <c r="J71" s="66"/>
      <c r="K71" s="66"/>
      <c r="L71" s="66"/>
    </row>
    <row r="72" spans="1:12" ht="18" customHeight="1" x14ac:dyDescent="0.3"/>
    <row r="73" spans="1:12" ht="18" customHeight="1" x14ac:dyDescent="0.3"/>
    <row r="74" spans="1:12" ht="18" customHeight="1" x14ac:dyDescent="0.3"/>
    <row r="75" spans="1:12" ht="18" customHeight="1" x14ac:dyDescent="0.3"/>
    <row r="76" spans="1:12" ht="18" customHeight="1" x14ac:dyDescent="0.3"/>
  </sheetData>
  <mergeCells count="4">
    <mergeCell ref="A2:J2"/>
    <mergeCell ref="A3:J3"/>
    <mergeCell ref="B4:E4"/>
    <mergeCell ref="H47:I47"/>
  </mergeCells>
  <printOptions horizontalCentered="1"/>
  <pageMargins left="0.5" right="0.5" top="0.5" bottom="0.5" header="0" footer="0"/>
  <pageSetup scale="70" orientation="portrait" horizontalDpi="4294967292" verticalDpi="4294967292" r:id="rId1"/>
  <headerFooter>
    <oddFooter>&amp;L&amp;K000000_x000D_14.333 Geotechnical Laboratory&amp;C&amp;K000000_x000D_Revised 01/12&amp;R&amp;K000000_x000D___ of __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8">
    <pageSetUpPr fitToPage="1"/>
  </sheetPr>
  <dimension ref="A2:P76"/>
  <sheetViews>
    <sheetView view="pageBreakPreview" topLeftCell="A16" zoomScale="130" zoomScaleNormal="175" zoomScaleSheetLayoutView="130" zoomScalePageLayoutView="175" workbookViewId="0">
      <selection activeCell="L30" sqref="L30"/>
    </sheetView>
  </sheetViews>
  <sheetFormatPr defaultColWidth="6.6640625" defaultRowHeight="16.2" customHeight="1" x14ac:dyDescent="0.3"/>
  <cols>
    <col min="1" max="1" width="12.6640625" style="66" customWidth="1"/>
    <col min="2" max="2" width="18.88671875" style="66" customWidth="1"/>
    <col min="3" max="7" width="12.6640625" style="66" customWidth="1"/>
    <col min="8" max="8" width="12.88671875" style="66" customWidth="1"/>
    <col min="9" max="9" width="10.44140625" style="66" customWidth="1"/>
    <col min="10" max="10" width="8" style="66" customWidth="1"/>
    <col min="11" max="13" width="6.6640625" style="66"/>
    <col min="14" max="14" width="8.44140625" style="66" bestFit="1" customWidth="1"/>
    <col min="15" max="16384" width="6.6640625" style="66"/>
  </cols>
  <sheetData>
    <row r="2" spans="1:10" ht="18" customHeight="1" x14ac:dyDescent="0.3">
      <c r="A2" s="182" t="s">
        <v>212</v>
      </c>
      <c r="B2" s="182"/>
      <c r="C2" s="182"/>
      <c r="D2" s="182"/>
      <c r="E2" s="182"/>
      <c r="F2" s="182"/>
      <c r="G2" s="182"/>
      <c r="H2" s="182"/>
      <c r="I2" s="182"/>
      <c r="J2" s="182"/>
    </row>
    <row r="3" spans="1:10" s="67" customFormat="1" ht="18" customHeight="1" x14ac:dyDescent="0.3">
      <c r="A3" s="183" t="s">
        <v>213</v>
      </c>
      <c r="B3" s="183"/>
      <c r="C3" s="183"/>
      <c r="D3" s="183"/>
      <c r="E3" s="183"/>
      <c r="F3" s="183"/>
      <c r="G3" s="183"/>
      <c r="H3" s="183"/>
      <c r="I3" s="183"/>
      <c r="J3" s="183"/>
    </row>
    <row r="4" spans="1:10" ht="40.950000000000003" customHeight="1" x14ac:dyDescent="0.3">
      <c r="A4" s="68" t="s">
        <v>214</v>
      </c>
      <c r="B4" s="185" t="s">
        <v>286</v>
      </c>
      <c r="C4" s="185"/>
      <c r="D4" s="185"/>
      <c r="E4" s="185"/>
      <c r="G4" s="68" t="s">
        <v>215</v>
      </c>
      <c r="H4" s="71"/>
      <c r="I4" s="68"/>
    </row>
    <row r="5" spans="1:10" ht="13.95" customHeight="1" x14ac:dyDescent="0.3">
      <c r="A5" s="68" t="s">
        <v>216</v>
      </c>
      <c r="B5" s="72" t="s">
        <v>287</v>
      </c>
      <c r="C5" s="72"/>
      <c r="D5" s="73"/>
      <c r="G5" s="68" t="s">
        <v>217</v>
      </c>
      <c r="H5" s="72" t="s">
        <v>289</v>
      </c>
      <c r="I5" s="68"/>
    </row>
    <row r="6" spans="1:10" ht="13.95" customHeight="1" x14ac:dyDescent="0.3">
      <c r="A6" s="68" t="s">
        <v>218</v>
      </c>
      <c r="B6" s="72" t="s">
        <v>294</v>
      </c>
      <c r="C6" s="72"/>
      <c r="D6" s="73"/>
      <c r="G6" s="68" t="s">
        <v>219</v>
      </c>
      <c r="H6" s="72"/>
    </row>
    <row r="7" spans="1:10" ht="13.95" customHeight="1" x14ac:dyDescent="0.3">
      <c r="A7" s="74"/>
      <c r="B7" s="75"/>
      <c r="C7" s="76"/>
      <c r="D7" s="76"/>
      <c r="E7" s="74"/>
      <c r="F7" s="75"/>
      <c r="G7" s="77"/>
      <c r="H7" s="77"/>
      <c r="I7" s="74"/>
      <c r="J7" s="74"/>
    </row>
    <row r="8" spans="1:10" ht="13.95" customHeight="1" x14ac:dyDescent="0.3">
      <c r="A8" s="78" t="s">
        <v>220</v>
      </c>
      <c r="B8" s="68"/>
      <c r="D8" s="78" t="s">
        <v>221</v>
      </c>
      <c r="F8" s="68"/>
      <c r="G8" s="79"/>
      <c r="H8" s="78" t="s">
        <v>222</v>
      </c>
    </row>
    <row r="9" spans="1:10" ht="13.95" customHeight="1" x14ac:dyDescent="0.3">
      <c r="A9" s="80" t="s">
        <v>223</v>
      </c>
      <c r="B9" s="70"/>
      <c r="D9" s="81"/>
      <c r="E9" s="82" t="s">
        <v>224</v>
      </c>
      <c r="F9" s="69"/>
      <c r="H9" s="82"/>
      <c r="I9" s="82" t="s">
        <v>224</v>
      </c>
      <c r="J9" s="69"/>
    </row>
    <row r="10" spans="1:10" ht="13.95" customHeight="1" x14ac:dyDescent="0.3">
      <c r="A10" s="80" t="s">
        <v>225</v>
      </c>
      <c r="B10" s="70"/>
      <c r="D10" s="82"/>
      <c r="E10" s="82" t="s">
        <v>226</v>
      </c>
      <c r="F10" s="83"/>
      <c r="H10" s="79"/>
      <c r="I10" s="82" t="s">
        <v>227</v>
      </c>
      <c r="J10" s="69"/>
    </row>
    <row r="11" spans="1:10" ht="13.95" customHeight="1" x14ac:dyDescent="0.3">
      <c r="A11" s="80" t="s">
        <v>228</v>
      </c>
      <c r="B11" s="70"/>
      <c r="C11" s="81"/>
      <c r="D11" s="81"/>
      <c r="E11" s="82" t="s">
        <v>229</v>
      </c>
      <c r="F11" s="83"/>
      <c r="H11" s="79"/>
      <c r="I11" s="82" t="s">
        <v>230</v>
      </c>
      <c r="J11" s="69"/>
    </row>
    <row r="12" spans="1:10" ht="13.95" customHeight="1" x14ac:dyDescent="0.3">
      <c r="B12" s="68"/>
      <c r="C12" s="81"/>
      <c r="D12" s="81"/>
      <c r="E12" s="82" t="s">
        <v>231</v>
      </c>
      <c r="F12" s="83"/>
      <c r="H12" s="79"/>
      <c r="I12" s="82" t="s">
        <v>232</v>
      </c>
      <c r="J12" s="69"/>
    </row>
    <row r="13" spans="1:10" ht="13.95" customHeight="1" x14ac:dyDescent="0.3">
      <c r="A13" s="78" t="s">
        <v>233</v>
      </c>
      <c r="E13" s="82" t="s">
        <v>234</v>
      </c>
      <c r="F13" s="83"/>
      <c r="I13" s="82" t="s">
        <v>235</v>
      </c>
      <c r="J13" s="69"/>
    </row>
    <row r="14" spans="1:10" ht="13.5" customHeight="1" x14ac:dyDescent="0.3">
      <c r="A14" s="78"/>
      <c r="E14" s="82" t="s">
        <v>236</v>
      </c>
      <c r="F14" s="83">
        <f>'Gravemetric Moisture Content'!G57</f>
        <v>60.536219783364544</v>
      </c>
    </row>
    <row r="15" spans="1:10" ht="13.95" customHeight="1" x14ac:dyDescent="0.3">
      <c r="A15" s="74"/>
      <c r="B15" s="75"/>
      <c r="C15" s="74"/>
      <c r="D15" s="74"/>
      <c r="E15" s="74"/>
      <c r="F15" s="74"/>
      <c r="G15" s="74"/>
      <c r="H15" s="74"/>
      <c r="I15" s="74"/>
      <c r="J15" s="74"/>
    </row>
    <row r="16" spans="1:10" ht="13.95" customHeight="1" x14ac:dyDescent="0.3">
      <c r="A16" s="84" t="s">
        <v>237</v>
      </c>
      <c r="B16" s="85"/>
      <c r="C16" s="85"/>
      <c r="D16" s="85"/>
      <c r="E16" s="85"/>
      <c r="F16" s="85"/>
      <c r="G16" s="85"/>
      <c r="H16" s="85"/>
      <c r="I16" s="85"/>
      <c r="J16" s="85"/>
    </row>
    <row r="17" spans="1:15" ht="13.95" customHeight="1" x14ac:dyDescent="0.3">
      <c r="A17" s="78" t="s">
        <v>238</v>
      </c>
      <c r="B17" s="82"/>
      <c r="C17" s="86"/>
      <c r="D17" s="87" t="s">
        <v>239</v>
      </c>
      <c r="E17" s="86"/>
      <c r="G17" s="88" t="s">
        <v>240</v>
      </c>
      <c r="H17" s="86" t="s">
        <v>241</v>
      </c>
      <c r="I17" s="86"/>
      <c r="J17" s="86"/>
    </row>
    <row r="18" spans="1:15" ht="13.95" customHeight="1" x14ac:dyDescent="0.3">
      <c r="A18" s="78" t="s">
        <v>242</v>
      </c>
      <c r="B18" s="88" t="s">
        <v>243</v>
      </c>
      <c r="C18" s="86"/>
      <c r="E18" s="87" t="s">
        <v>244</v>
      </c>
      <c r="F18" s="86"/>
      <c r="G18" s="89">
        <v>5</v>
      </c>
      <c r="H18" s="86"/>
      <c r="I18" s="86"/>
      <c r="J18" s="86"/>
    </row>
    <row r="19" spans="1:15" s="86" customFormat="1" ht="10.95" customHeight="1" x14ac:dyDescent="0.3">
      <c r="A19" s="78"/>
      <c r="B19" s="90" t="s">
        <v>245</v>
      </c>
      <c r="D19" s="87" t="s">
        <v>246</v>
      </c>
      <c r="F19" s="91"/>
      <c r="G19" s="88" t="s">
        <v>247</v>
      </c>
      <c r="H19" s="91"/>
    </row>
    <row r="20" spans="1:15" s="86" customFormat="1" ht="10.95" customHeight="1" x14ac:dyDescent="0.3">
      <c r="A20" s="92"/>
      <c r="B20" s="74"/>
      <c r="C20" s="74"/>
      <c r="D20" s="93"/>
      <c r="E20" s="74"/>
      <c r="F20" s="74"/>
      <c r="G20" s="74"/>
      <c r="H20" s="74"/>
      <c r="I20" s="74"/>
      <c r="J20" s="74"/>
    </row>
    <row r="21" spans="1:15" s="86" customFormat="1" ht="13.95" customHeight="1" x14ac:dyDescent="0.3">
      <c r="A21" s="78" t="s">
        <v>248</v>
      </c>
      <c r="H21" s="87" t="s">
        <v>249</v>
      </c>
    </row>
    <row r="22" spans="1:15" s="86" customFormat="1" ht="13.95" customHeight="1" x14ac:dyDescent="0.3">
      <c r="A22" s="78" t="s">
        <v>250</v>
      </c>
      <c r="B22" s="88" t="s">
        <v>251</v>
      </c>
      <c r="I22" s="82" t="s">
        <v>252</v>
      </c>
    </row>
    <row r="23" spans="1:15" s="86" customFormat="1" ht="13.95" customHeight="1" x14ac:dyDescent="0.3">
      <c r="A23" s="78"/>
      <c r="I23" s="82" t="s">
        <v>253</v>
      </c>
    </row>
    <row r="24" spans="1:15" s="86" customFormat="1" ht="13.95" customHeight="1" x14ac:dyDescent="0.3">
      <c r="A24" s="78" t="s">
        <v>254</v>
      </c>
      <c r="I24" s="82" t="s">
        <v>255</v>
      </c>
    </row>
    <row r="25" spans="1:15" s="86" customFormat="1" ht="13.95" customHeight="1" x14ac:dyDescent="0.3">
      <c r="A25" s="78" t="s">
        <v>256</v>
      </c>
      <c r="B25" s="94">
        <v>43844</v>
      </c>
      <c r="C25" s="82"/>
      <c r="D25" s="87"/>
      <c r="E25" s="82"/>
      <c r="F25" s="95"/>
      <c r="I25" s="82" t="s">
        <v>257</v>
      </c>
    </row>
    <row r="26" spans="1:15" s="86" customFormat="1" ht="13.95" customHeight="1" x14ac:dyDescent="0.3">
      <c r="A26" s="78" t="s">
        <v>258</v>
      </c>
      <c r="B26" s="149">
        <v>43844.333333333336</v>
      </c>
      <c r="F26" s="82"/>
      <c r="I26" s="82" t="s">
        <v>259</v>
      </c>
    </row>
    <row r="27" spans="1:15" s="86" customFormat="1" ht="13.95" customHeight="1" x14ac:dyDescent="0.3">
      <c r="A27" s="78"/>
      <c r="F27" s="82"/>
      <c r="H27" s="82" t="s">
        <v>260</v>
      </c>
      <c r="N27" s="86">
        <f>4+(0.01248*29)+(0.00795*29^2)</f>
        <v>11.04787</v>
      </c>
      <c r="O27" s="87" t="s">
        <v>6</v>
      </c>
    </row>
    <row r="28" spans="1:15" s="86" customFormat="1" ht="13.95" customHeight="1" x14ac:dyDescent="0.3">
      <c r="A28" s="78"/>
      <c r="B28" s="87"/>
      <c r="G28" s="87" t="s">
        <v>261</v>
      </c>
      <c r="I28" s="88" t="s">
        <v>262</v>
      </c>
      <c r="J28" s="86">
        <f>'Specific Gravity Tests'!B147</f>
        <v>2.6447718788083572</v>
      </c>
      <c r="O28" s="87" t="s">
        <v>263</v>
      </c>
    </row>
    <row r="29" spans="1:15" s="86" customFormat="1" ht="10.95" customHeight="1" thickBot="1" x14ac:dyDescent="0.35"/>
    <row r="30" spans="1:15" s="97" customFormat="1" ht="54" customHeight="1" x14ac:dyDescent="0.3">
      <c r="B30" s="98" t="s">
        <v>264</v>
      </c>
      <c r="C30" s="99" t="s">
        <v>265</v>
      </c>
      <c r="D30" s="100" t="s">
        <v>266</v>
      </c>
      <c r="E30" s="101" t="s">
        <v>267</v>
      </c>
      <c r="F30" s="101" t="s">
        <v>268</v>
      </c>
      <c r="G30" s="101" t="s">
        <v>269</v>
      </c>
      <c r="H30" s="102" t="s">
        <v>270</v>
      </c>
      <c r="J30" s="103"/>
      <c r="K30" s="104"/>
      <c r="L30" s="104"/>
    </row>
    <row r="31" spans="1:15" s="87" customFormat="1" ht="13.95" customHeight="1" x14ac:dyDescent="0.3">
      <c r="B31" s="105">
        <v>0.1</v>
      </c>
      <c r="C31" s="106">
        <v>31</v>
      </c>
      <c r="D31" s="107">
        <v>27</v>
      </c>
      <c r="E31" s="108">
        <f t="shared" ref="E31:E39" si="0">$N$27+(((0.01248*D31)-((0.00795)*D31^2)))</f>
        <v>5.5892799999999996</v>
      </c>
      <c r="F31" s="109">
        <f t="shared" ref="F31:F39" si="1">7.8+(((18.8-7.8)/(60+5))*(60-C31+$N$31))-($N$32/$N$33)</f>
        <v>11.011826087564929</v>
      </c>
      <c r="G31" s="110">
        <f>(SQRT(((18*0.01)/(0.99821*980.7*($J$28-1))*(F31/(B31*60)))*10))</f>
        <v>4.5295850376773354E-2</v>
      </c>
      <c r="H31" s="111">
        <f t="shared" ref="H31:H39" si="2">0.6226*($J$28/($J$28-1))*((50/$F$14)*(C31-E31))*(100/1000)</f>
        <v>2.1011803956315926</v>
      </c>
      <c r="J31" s="103"/>
      <c r="K31" s="112"/>
      <c r="L31" s="112"/>
      <c r="N31" s="87">
        <v>1</v>
      </c>
      <c r="O31" s="90" t="s">
        <v>271</v>
      </c>
    </row>
    <row r="32" spans="1:15" s="87" customFormat="1" ht="13.95" customHeight="1" x14ac:dyDescent="0.3">
      <c r="B32" s="113">
        <v>1</v>
      </c>
      <c r="C32" s="114">
        <v>28</v>
      </c>
      <c r="D32" s="107">
        <v>27</v>
      </c>
      <c r="E32" s="108">
        <f t="shared" si="0"/>
        <v>5.5892799999999996</v>
      </c>
      <c r="F32" s="109">
        <f t="shared" si="1"/>
        <v>11.519518395257236</v>
      </c>
      <c r="G32" s="110">
        <f t="shared" ref="G32:G39" si="3">(SQRT(((18*0.01)/(0.99821*980.7*($J$28-1))*(F32/(B32*60)))*10))</f>
        <v>1.4650279382604745E-2</v>
      </c>
      <c r="H32" s="111">
        <f t="shared" si="2"/>
        <v>1.8531141784250444</v>
      </c>
      <c r="J32" s="103"/>
      <c r="K32" s="112"/>
      <c r="L32" s="112"/>
      <c r="N32" s="87">
        <v>60</v>
      </c>
      <c r="O32" s="90" t="s">
        <v>272</v>
      </c>
    </row>
    <row r="33" spans="1:16" s="87" customFormat="1" ht="13.95" customHeight="1" x14ac:dyDescent="0.3">
      <c r="B33" s="113">
        <v>2</v>
      </c>
      <c r="C33" s="114">
        <v>26</v>
      </c>
      <c r="D33" s="107">
        <v>27</v>
      </c>
      <c r="E33" s="108">
        <f t="shared" si="0"/>
        <v>5.5892799999999996</v>
      </c>
      <c r="F33" s="109">
        <f t="shared" si="1"/>
        <v>11.857979933718775</v>
      </c>
      <c r="G33" s="110">
        <f t="shared" si="3"/>
        <v>1.0510396580456743E-2</v>
      </c>
      <c r="H33" s="111">
        <f t="shared" si="2"/>
        <v>1.687736700287346</v>
      </c>
      <c r="J33" s="103"/>
      <c r="K33" s="112"/>
      <c r="L33" s="112"/>
      <c r="N33" s="87">
        <f>(PI()*6.4^2)/4</f>
        <v>32.169908772759484</v>
      </c>
      <c r="O33" s="90" t="s">
        <v>273</v>
      </c>
    </row>
    <row r="34" spans="1:16" s="87" customFormat="1" ht="13.95" customHeight="1" x14ac:dyDescent="0.3">
      <c r="B34" s="113">
        <v>4</v>
      </c>
      <c r="C34" s="114">
        <v>25</v>
      </c>
      <c r="D34" s="107">
        <v>27</v>
      </c>
      <c r="E34" s="108">
        <f t="shared" si="0"/>
        <v>5.5892799999999996</v>
      </c>
      <c r="F34" s="109">
        <f t="shared" si="1"/>
        <v>12.027210702949544</v>
      </c>
      <c r="G34" s="110">
        <f t="shared" si="3"/>
        <v>7.484817396590974E-3</v>
      </c>
      <c r="H34" s="111">
        <f t="shared" si="2"/>
        <v>1.6050479612184967</v>
      </c>
      <c r="J34" s="103"/>
      <c r="K34" s="112"/>
      <c r="L34" s="112"/>
      <c r="O34" s="90"/>
    </row>
    <row r="35" spans="1:16" s="87" customFormat="1" ht="13.95" customHeight="1" x14ac:dyDescent="0.3">
      <c r="B35" s="113">
        <v>15</v>
      </c>
      <c r="C35" s="114">
        <v>24</v>
      </c>
      <c r="D35" s="107">
        <v>27</v>
      </c>
      <c r="E35" s="108">
        <f t="shared" si="0"/>
        <v>5.5892799999999996</v>
      </c>
      <c r="F35" s="109">
        <f t="shared" si="1"/>
        <v>12.196441472180313</v>
      </c>
      <c r="G35" s="110">
        <f t="shared" si="3"/>
        <v>3.8922406496818213E-3</v>
      </c>
      <c r="H35" s="111">
        <f t="shared" si="2"/>
        <v>1.5223592221496471</v>
      </c>
      <c r="J35" s="103"/>
      <c r="K35" s="112"/>
      <c r="L35" s="112"/>
      <c r="O35" s="90" t="s">
        <v>274</v>
      </c>
      <c r="P35" s="90"/>
    </row>
    <row r="36" spans="1:16" s="87" customFormat="1" ht="13.95" customHeight="1" x14ac:dyDescent="0.3">
      <c r="B36" s="113">
        <v>30</v>
      </c>
      <c r="C36" s="106">
        <v>23</v>
      </c>
      <c r="D36" s="107">
        <v>27</v>
      </c>
      <c r="E36" s="108">
        <f t="shared" si="0"/>
        <v>5.5892799999999996</v>
      </c>
      <c r="F36" s="109">
        <f t="shared" si="1"/>
        <v>12.365672241411081</v>
      </c>
      <c r="G36" s="110">
        <f t="shared" si="3"/>
        <v>2.7712581523550118E-3</v>
      </c>
      <c r="H36" s="111">
        <f t="shared" si="2"/>
        <v>1.4396704830807978</v>
      </c>
      <c r="J36" s="103"/>
      <c r="K36" s="112"/>
      <c r="L36" s="112"/>
      <c r="P36" s="90"/>
    </row>
    <row r="37" spans="1:16" s="87" customFormat="1" ht="13.95" customHeight="1" x14ac:dyDescent="0.3">
      <c r="B37" s="113">
        <v>60</v>
      </c>
      <c r="C37" s="106">
        <v>21</v>
      </c>
      <c r="D37" s="107">
        <v>27</v>
      </c>
      <c r="E37" s="108">
        <f t="shared" si="0"/>
        <v>5.5892799999999996</v>
      </c>
      <c r="F37" s="109">
        <f t="shared" si="1"/>
        <v>12.704133779872622</v>
      </c>
      <c r="G37" s="110">
        <f t="shared" si="3"/>
        <v>1.9862122200241818E-3</v>
      </c>
      <c r="H37" s="111">
        <f t="shared" si="2"/>
        <v>1.2742930049430989</v>
      </c>
      <c r="J37" s="103"/>
      <c r="K37" s="112"/>
      <c r="L37" s="112"/>
      <c r="N37" s="95">
        <v>1000</v>
      </c>
      <c r="O37" s="90" t="s">
        <v>275</v>
      </c>
      <c r="P37" s="90"/>
    </row>
    <row r="38" spans="1:16" s="87" customFormat="1" ht="13.95" customHeight="1" x14ac:dyDescent="0.3">
      <c r="B38" s="113">
        <v>240</v>
      </c>
      <c r="C38" s="150">
        <v>39</v>
      </c>
      <c r="D38" s="107">
        <v>27</v>
      </c>
      <c r="E38" s="108">
        <f t="shared" si="0"/>
        <v>5.5892799999999996</v>
      </c>
      <c r="F38" s="109">
        <f t="shared" si="1"/>
        <v>9.6579799337187744</v>
      </c>
      <c r="G38" s="110">
        <f t="shared" si="3"/>
        <v>8.6589707784563003E-4</v>
      </c>
      <c r="H38" s="111">
        <f t="shared" si="2"/>
        <v>2.7626903081823877</v>
      </c>
      <c r="J38" s="103"/>
      <c r="K38" s="112"/>
      <c r="L38" s="112"/>
      <c r="O38" s="90" t="s">
        <v>276</v>
      </c>
    </row>
    <row r="39" spans="1:16" s="86" customFormat="1" ht="13.95" customHeight="1" x14ac:dyDescent="0.3">
      <c r="B39" s="113">
        <v>1440</v>
      </c>
      <c r="C39" s="150">
        <v>28</v>
      </c>
      <c r="D39" s="107">
        <v>27</v>
      </c>
      <c r="E39" s="108">
        <f t="shared" si="0"/>
        <v>5.5892799999999996</v>
      </c>
      <c r="F39" s="109">
        <f t="shared" si="1"/>
        <v>11.519518395257236</v>
      </c>
      <c r="G39" s="110">
        <f t="shared" si="3"/>
        <v>3.8606876005696988E-4</v>
      </c>
      <c r="H39" s="111">
        <f t="shared" si="2"/>
        <v>1.8531141784250444</v>
      </c>
      <c r="J39" s="103"/>
      <c r="O39" s="90" t="s">
        <v>277</v>
      </c>
    </row>
    <row r="40" spans="1:16" s="86" customFormat="1" ht="13.95" customHeight="1" x14ac:dyDescent="0.3">
      <c r="B40" s="113"/>
      <c r="C40" s="106"/>
      <c r="D40" s="111"/>
      <c r="E40" s="108"/>
      <c r="F40" s="109"/>
      <c r="G40" s="110"/>
      <c r="H40" s="111"/>
      <c r="J40" s="103"/>
      <c r="O40" s="90" t="s">
        <v>278</v>
      </c>
    </row>
    <row r="41" spans="1:16" s="86" customFormat="1" ht="13.95" customHeight="1" thickBot="1" x14ac:dyDescent="0.35">
      <c r="B41" s="115"/>
      <c r="C41" s="116"/>
      <c r="D41" s="111"/>
      <c r="E41" s="108"/>
      <c r="F41" s="117"/>
      <c r="G41" s="118"/>
      <c r="H41" s="111"/>
      <c r="J41" s="119"/>
    </row>
    <row r="42" spans="1:16" s="86" customFormat="1" ht="13.95" customHeight="1" x14ac:dyDescent="0.3">
      <c r="A42" s="120"/>
      <c r="B42" s="77"/>
      <c r="C42" s="121"/>
      <c r="D42" s="121"/>
      <c r="E42" s="77"/>
      <c r="F42" s="122"/>
      <c r="G42" s="123"/>
      <c r="H42" s="77"/>
      <c r="I42" s="124"/>
      <c r="J42" s="125"/>
    </row>
    <row r="43" spans="1:16" s="86" customFormat="1" ht="13.95" customHeight="1" thickBot="1" x14ac:dyDescent="0.35">
      <c r="A43" s="126"/>
      <c r="B43" s="127"/>
      <c r="C43" s="128"/>
      <c r="D43" s="128"/>
      <c r="E43" s="127"/>
      <c r="F43" s="129"/>
      <c r="G43" s="130"/>
      <c r="H43" s="127"/>
      <c r="I43" s="131"/>
      <c r="J43" s="132"/>
    </row>
    <row r="44" spans="1:16" s="86" customFormat="1" ht="13.95" customHeight="1" x14ac:dyDescent="0.3">
      <c r="A44" s="133"/>
      <c r="C44" s="97"/>
      <c r="D44" s="97"/>
      <c r="E44" s="97"/>
      <c r="F44" s="97"/>
      <c r="G44" s="97"/>
      <c r="H44" s="134"/>
      <c r="I44" s="134"/>
      <c r="J44" s="103"/>
    </row>
    <row r="45" spans="1:16" s="86" customFormat="1" ht="13.95" customHeight="1" x14ac:dyDescent="0.3">
      <c r="A45" s="133"/>
      <c r="C45" s="97"/>
      <c r="D45" s="97"/>
      <c r="E45" s="97"/>
      <c r="F45" s="97"/>
      <c r="G45" s="97"/>
      <c r="H45" s="134"/>
      <c r="I45" s="134"/>
      <c r="J45" s="103"/>
    </row>
    <row r="46" spans="1:16" s="86" customFormat="1" ht="13.95" customHeight="1" x14ac:dyDescent="0.3">
      <c r="A46" s="97" t="s">
        <v>279</v>
      </c>
      <c r="B46" s="97" t="s">
        <v>280</v>
      </c>
      <c r="C46" s="135">
        <f t="shared" ref="C46:C50" si="4">J53</f>
        <v>100</v>
      </c>
      <c r="D46" s="135" t="e">
        <f>#REF!</f>
        <v>#REF!</v>
      </c>
      <c r="F46" s="97"/>
      <c r="G46" s="97">
        <v>9</v>
      </c>
      <c r="H46" s="134"/>
    </row>
    <row r="47" spans="1:16" s="86" customFormat="1" ht="13.95" customHeight="1" x14ac:dyDescent="0.3">
      <c r="A47" s="97"/>
      <c r="B47" s="97"/>
      <c r="C47" s="135">
        <f t="shared" si="4"/>
        <v>99.603499999999997</v>
      </c>
      <c r="D47" s="135" t="e">
        <f>#REF!</f>
        <v>#REF!</v>
      </c>
      <c r="F47" s="97"/>
      <c r="G47" s="97"/>
      <c r="H47" s="184" t="s">
        <v>281</v>
      </c>
      <c r="I47" s="184"/>
      <c r="J47" s="136"/>
    </row>
    <row r="48" spans="1:16" s="86" customFormat="1" ht="13.95" customHeight="1" thickBot="1" x14ac:dyDescent="0.35">
      <c r="A48" s="97">
        <v>4</v>
      </c>
      <c r="B48" s="97">
        <v>4.75</v>
      </c>
      <c r="C48" s="135">
        <f t="shared" si="4"/>
        <v>2.1011803956315926</v>
      </c>
      <c r="D48" s="135" t="e">
        <f>#REF!</f>
        <v>#REF!</v>
      </c>
      <c r="F48" s="97"/>
      <c r="G48" s="97"/>
      <c r="H48" s="134"/>
      <c r="I48" s="136"/>
      <c r="J48" s="136"/>
    </row>
    <row r="49" spans="1:10" s="86" customFormat="1" ht="13.95" customHeight="1" thickBot="1" x14ac:dyDescent="0.35">
      <c r="A49" s="97">
        <v>10</v>
      </c>
      <c r="B49" s="97">
        <v>2</v>
      </c>
      <c r="C49" s="135">
        <f t="shared" si="4"/>
        <v>0</v>
      </c>
      <c r="D49" s="135" t="e">
        <f>#REF!</f>
        <v>#REF!</v>
      </c>
      <c r="F49" s="97"/>
      <c r="G49" s="97"/>
      <c r="H49" s="137" t="s">
        <v>279</v>
      </c>
      <c r="I49" s="137" t="s">
        <v>269</v>
      </c>
      <c r="J49" s="137" t="s">
        <v>282</v>
      </c>
    </row>
    <row r="50" spans="1:10" s="86" customFormat="1" ht="13.95" customHeight="1" x14ac:dyDescent="0.3">
      <c r="A50" s="97">
        <v>40</v>
      </c>
      <c r="B50" s="97">
        <v>0.42499999999999999</v>
      </c>
      <c r="C50" s="135">
        <f t="shared" si="4"/>
        <v>0</v>
      </c>
      <c r="D50" s="135" t="e">
        <f>#REF!</f>
        <v>#REF!</v>
      </c>
      <c r="F50" s="97"/>
      <c r="G50" s="97"/>
      <c r="H50" s="138">
        <v>4</v>
      </c>
      <c r="I50" s="138">
        <v>4.75</v>
      </c>
      <c r="J50" s="138">
        <v>100</v>
      </c>
    </row>
    <row r="51" spans="1:10" s="86" customFormat="1" ht="13.95" customHeight="1" x14ac:dyDescent="0.3">
      <c r="A51" s="97">
        <v>200</v>
      </c>
      <c r="B51" s="97">
        <v>7.4999999999999997E-2</v>
      </c>
      <c r="C51" s="135">
        <f t="shared" ref="C51:C59" si="5">G31</f>
        <v>4.5295850376773354E-2</v>
      </c>
      <c r="D51" s="139" t="e">
        <f>#REF!</f>
        <v>#REF!</v>
      </c>
      <c r="F51" s="97"/>
      <c r="G51" s="97"/>
      <c r="H51" s="140">
        <v>10</v>
      </c>
      <c r="I51" s="140">
        <v>2</v>
      </c>
      <c r="J51" s="140">
        <v>100</v>
      </c>
    </row>
    <row r="52" spans="1:10" s="86" customFormat="1" ht="13.95" customHeight="1" x14ac:dyDescent="0.3">
      <c r="A52" s="133"/>
      <c r="B52" s="141"/>
      <c r="C52" s="135">
        <f t="shared" si="5"/>
        <v>1.4650279382604745E-2</v>
      </c>
      <c r="D52" s="139" t="e">
        <f>#REF!</f>
        <v>#REF!</v>
      </c>
      <c r="E52" s="97"/>
      <c r="F52" s="97"/>
      <c r="G52" s="97"/>
      <c r="H52" s="140">
        <v>40</v>
      </c>
      <c r="I52" s="140">
        <v>0.42499999999999999</v>
      </c>
      <c r="J52" s="140">
        <v>100</v>
      </c>
    </row>
    <row r="53" spans="1:10" s="86" customFormat="1" ht="13.95" customHeight="1" x14ac:dyDescent="0.3">
      <c r="A53" s="142"/>
      <c r="B53" s="143"/>
      <c r="C53" s="135">
        <f t="shared" si="5"/>
        <v>1.0510396580456743E-2</v>
      </c>
      <c r="D53" s="139" t="e">
        <f>#REF!</f>
        <v>#REF!</v>
      </c>
      <c r="E53" s="97"/>
      <c r="F53" s="97"/>
      <c r="G53" s="97"/>
      <c r="H53" s="140">
        <v>100</v>
      </c>
      <c r="I53" s="140">
        <v>0.15</v>
      </c>
      <c r="J53" s="140">
        <v>100</v>
      </c>
    </row>
    <row r="54" spans="1:10" s="86" customFormat="1" ht="13.95" customHeight="1" thickBot="1" x14ac:dyDescent="0.35">
      <c r="A54" s="133"/>
      <c r="B54" s="141"/>
      <c r="C54" s="135">
        <f t="shared" si="5"/>
        <v>7.484817396590974E-3</v>
      </c>
      <c r="D54" s="139" t="e">
        <f>#REF!</f>
        <v>#REF!</v>
      </c>
      <c r="E54" s="97"/>
      <c r="F54" s="97"/>
      <c r="G54" s="97"/>
      <c r="H54" s="144">
        <v>200</v>
      </c>
      <c r="I54" s="144">
        <v>7.4999999999999997E-2</v>
      </c>
      <c r="J54" s="144">
        <f>'Sieve Analysis'!D69</f>
        <v>99.603499999999997</v>
      </c>
    </row>
    <row r="55" spans="1:10" s="86" customFormat="1" ht="13.95" customHeight="1" x14ac:dyDescent="0.3">
      <c r="A55" s="133"/>
      <c r="B55" s="141"/>
      <c r="C55" s="135">
        <f t="shared" si="5"/>
        <v>3.8922406496818213E-3</v>
      </c>
      <c r="D55" s="139" t="e">
        <f>#REF!</f>
        <v>#REF!</v>
      </c>
      <c r="E55" s="97"/>
      <c r="F55" s="97"/>
      <c r="G55" s="97"/>
      <c r="H55" s="134" t="s">
        <v>300</v>
      </c>
      <c r="I55" s="86">
        <v>4.5295850376773354E-2</v>
      </c>
      <c r="J55" s="86">
        <v>2.1011803956315926</v>
      </c>
    </row>
    <row r="56" spans="1:10" s="86" customFormat="1" ht="13.95" customHeight="1" x14ac:dyDescent="0.3">
      <c r="A56" s="133"/>
      <c r="B56" s="96"/>
      <c r="C56" s="135">
        <f t="shared" si="5"/>
        <v>2.7712581523550118E-3</v>
      </c>
      <c r="D56" s="139" t="e">
        <f>#REF!</f>
        <v>#REF!</v>
      </c>
      <c r="E56" s="97"/>
      <c r="F56" s="97"/>
      <c r="G56" s="97"/>
      <c r="H56" s="134"/>
      <c r="I56" s="134"/>
      <c r="J56" s="134"/>
    </row>
    <row r="57" spans="1:10" s="86" customFormat="1" ht="13.95" customHeight="1" x14ac:dyDescent="0.3">
      <c r="A57" s="133"/>
      <c r="B57" s="141"/>
      <c r="C57" s="135">
        <f t="shared" si="5"/>
        <v>1.9862122200241818E-3</v>
      </c>
      <c r="D57" s="139" t="e">
        <f>#REF!</f>
        <v>#REF!</v>
      </c>
      <c r="E57" s="97"/>
      <c r="F57" s="97"/>
      <c r="G57" s="97"/>
      <c r="H57" s="134"/>
      <c r="I57" s="134"/>
      <c r="J57" s="134"/>
    </row>
    <row r="58" spans="1:10" s="86" customFormat="1" ht="13.95" customHeight="1" x14ac:dyDescent="0.3">
      <c r="B58" s="145"/>
      <c r="C58" s="135">
        <f t="shared" si="5"/>
        <v>8.6589707784563003E-4</v>
      </c>
      <c r="D58" s="139" t="e">
        <f>#REF!</f>
        <v>#REF!</v>
      </c>
      <c r="E58" s="97"/>
      <c r="F58" s="97"/>
      <c r="G58" s="97"/>
      <c r="H58" s="134"/>
      <c r="I58" s="134"/>
      <c r="J58" s="134"/>
    </row>
    <row r="59" spans="1:10" s="86" customFormat="1" ht="13.95" customHeight="1" x14ac:dyDescent="0.3">
      <c r="C59" s="135">
        <f t="shared" si="5"/>
        <v>3.8606876005696988E-4</v>
      </c>
      <c r="D59" s="139" t="e">
        <f>#REF!</f>
        <v>#REF!</v>
      </c>
      <c r="E59" s="97"/>
      <c r="F59" s="97"/>
      <c r="G59" s="97"/>
      <c r="H59" s="134"/>
      <c r="I59" s="134"/>
      <c r="J59" s="134"/>
    </row>
    <row r="60" spans="1:10" s="86" customFormat="1" ht="13.95" customHeight="1" x14ac:dyDescent="0.3">
      <c r="B60" s="145"/>
      <c r="C60" s="135">
        <f>G41</f>
        <v>0</v>
      </c>
      <c r="D60" s="139" t="e">
        <f>#REF!</f>
        <v>#REF!</v>
      </c>
      <c r="E60" s="97"/>
      <c r="F60" s="97"/>
      <c r="G60" s="97"/>
      <c r="H60" s="134"/>
      <c r="I60" s="134"/>
      <c r="J60" s="134"/>
    </row>
    <row r="61" spans="1:10" s="86" customFormat="1" ht="13.95" customHeight="1" x14ac:dyDescent="0.3">
      <c r="B61" s="145"/>
      <c r="C61" s="135">
        <f t="shared" ref="C61:C62" si="6">G42</f>
        <v>0</v>
      </c>
      <c r="D61" s="139" t="e">
        <f>#REF!</f>
        <v>#REF!</v>
      </c>
      <c r="E61" s="97"/>
      <c r="F61" s="97"/>
      <c r="G61" s="97"/>
      <c r="H61" s="134"/>
      <c r="I61" s="134"/>
      <c r="J61" s="134"/>
    </row>
    <row r="62" spans="1:10" s="86" customFormat="1" ht="13.95" customHeight="1" x14ac:dyDescent="0.3">
      <c r="C62" s="135">
        <f t="shared" si="6"/>
        <v>0</v>
      </c>
      <c r="D62" s="139" t="e">
        <f>#REF!</f>
        <v>#REF!</v>
      </c>
      <c r="E62" s="97"/>
      <c r="F62" s="97"/>
      <c r="G62" s="97"/>
      <c r="H62" s="134"/>
      <c r="I62" s="134"/>
      <c r="J62" s="134"/>
    </row>
    <row r="63" spans="1:10" s="86" customFormat="1" ht="13.95" customHeight="1" x14ac:dyDescent="0.3"/>
    <row r="64" spans="1:10" s="86" customFormat="1" ht="13.95" customHeight="1" x14ac:dyDescent="0.3">
      <c r="A64" s="146"/>
    </row>
    <row r="65" spans="1:12" s="86" customFormat="1" ht="13.95" customHeight="1" x14ac:dyDescent="0.3"/>
    <row r="66" spans="1:12" s="86" customFormat="1" ht="13.95" customHeight="1" x14ac:dyDescent="0.3"/>
    <row r="67" spans="1:12" s="86" customFormat="1" ht="13.95" customHeight="1" x14ac:dyDescent="0.3"/>
    <row r="68" spans="1:12" s="86" customFormat="1" ht="13.95" customHeight="1" x14ac:dyDescent="0.3">
      <c r="A68" s="147"/>
      <c r="B68" s="68" t="s">
        <v>283</v>
      </c>
      <c r="D68" s="68" t="s">
        <v>284</v>
      </c>
      <c r="H68" s="68" t="s">
        <v>285</v>
      </c>
    </row>
    <row r="69" spans="1:12" s="86" customFormat="1" ht="18" customHeight="1" x14ac:dyDescent="0.3">
      <c r="I69" s="66"/>
      <c r="J69" s="66"/>
      <c r="K69" s="66"/>
      <c r="L69" s="66"/>
    </row>
    <row r="70" spans="1:12" s="86" customFormat="1" ht="18" customHeight="1" x14ac:dyDescent="0.3">
      <c r="A70" s="147"/>
      <c r="I70" s="66"/>
      <c r="J70" s="66"/>
      <c r="K70" s="66"/>
      <c r="L70" s="66"/>
    </row>
    <row r="71" spans="1:12" s="86" customFormat="1" ht="18" customHeight="1" x14ac:dyDescent="0.3">
      <c r="I71" s="66"/>
      <c r="J71" s="66"/>
      <c r="K71" s="66"/>
      <c r="L71" s="66"/>
    </row>
    <row r="72" spans="1:12" ht="18" customHeight="1" x14ac:dyDescent="0.3"/>
    <row r="73" spans="1:12" ht="18" customHeight="1" x14ac:dyDescent="0.3"/>
    <row r="74" spans="1:12" ht="18" customHeight="1" x14ac:dyDescent="0.3"/>
    <row r="75" spans="1:12" ht="18" customHeight="1" x14ac:dyDescent="0.3"/>
    <row r="76" spans="1:12" ht="18" customHeight="1" x14ac:dyDescent="0.3"/>
  </sheetData>
  <mergeCells count="4">
    <mergeCell ref="A2:J2"/>
    <mergeCell ref="A3:J3"/>
    <mergeCell ref="B4:E4"/>
    <mergeCell ref="H47:I47"/>
  </mergeCells>
  <printOptions horizontalCentered="1"/>
  <pageMargins left="0.5" right="0.5" top="0.5" bottom="0.5" header="0" footer="0"/>
  <pageSetup scale="70" orientation="portrait" horizontalDpi="4294967292" verticalDpi="4294967292" r:id="rId1"/>
  <headerFooter>
    <oddFooter>&amp;L&amp;K000000_x000D_14.333 Geotechnical Laboratory&amp;C&amp;K000000_x000D_Revised 01/12&amp;R&amp;K000000_x000D___ of __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20">
    <pageSetUpPr fitToPage="1"/>
  </sheetPr>
  <dimension ref="A2:P76"/>
  <sheetViews>
    <sheetView view="pageBreakPreview" topLeftCell="A14" zoomScale="130" zoomScaleNormal="175" zoomScaleSheetLayoutView="130" zoomScalePageLayoutView="175" workbookViewId="0">
      <selection activeCell="L30" sqref="L30"/>
    </sheetView>
  </sheetViews>
  <sheetFormatPr defaultColWidth="6.6640625" defaultRowHeight="16.2" customHeight="1" x14ac:dyDescent="0.3"/>
  <cols>
    <col min="1" max="1" width="12.6640625" style="66" customWidth="1"/>
    <col min="2" max="2" width="18.88671875" style="66" customWidth="1"/>
    <col min="3" max="7" width="12.6640625" style="66" customWidth="1"/>
    <col min="8" max="8" width="12.88671875" style="66" customWidth="1"/>
    <col min="9" max="9" width="10.44140625" style="66" customWidth="1"/>
    <col min="10" max="10" width="8" style="66" customWidth="1"/>
    <col min="11" max="13" width="6.6640625" style="66"/>
    <col min="14" max="14" width="8.44140625" style="66" bestFit="1" customWidth="1"/>
    <col min="15" max="16384" width="6.6640625" style="66"/>
  </cols>
  <sheetData>
    <row r="2" spans="1:10" ht="18" customHeight="1" x14ac:dyDescent="0.3">
      <c r="A2" s="182" t="s">
        <v>212</v>
      </c>
      <c r="B2" s="182"/>
      <c r="C2" s="182"/>
      <c r="D2" s="182"/>
      <c r="E2" s="182"/>
      <c r="F2" s="182"/>
      <c r="G2" s="182"/>
      <c r="H2" s="182"/>
      <c r="I2" s="182"/>
      <c r="J2" s="182"/>
    </row>
    <row r="3" spans="1:10" s="67" customFormat="1" ht="18" customHeight="1" x14ac:dyDescent="0.3">
      <c r="A3" s="183" t="s">
        <v>213</v>
      </c>
      <c r="B3" s="183"/>
      <c r="C3" s="183"/>
      <c r="D3" s="183"/>
      <c r="E3" s="183"/>
      <c r="F3" s="183"/>
      <c r="G3" s="183"/>
      <c r="H3" s="183"/>
      <c r="I3" s="183"/>
      <c r="J3" s="183"/>
    </row>
    <row r="4" spans="1:10" ht="40.950000000000003" customHeight="1" x14ac:dyDescent="0.3">
      <c r="A4" s="68" t="s">
        <v>214</v>
      </c>
      <c r="B4" s="185" t="s">
        <v>286</v>
      </c>
      <c r="C4" s="185"/>
      <c r="D4" s="185"/>
      <c r="E4" s="185"/>
      <c r="G4" s="68" t="s">
        <v>215</v>
      </c>
      <c r="H4" s="71"/>
      <c r="I4" s="68"/>
    </row>
    <row r="5" spans="1:10" ht="13.95" customHeight="1" x14ac:dyDescent="0.3">
      <c r="A5" s="68" t="s">
        <v>216</v>
      </c>
      <c r="B5" s="72" t="s">
        <v>287</v>
      </c>
      <c r="C5" s="72"/>
      <c r="D5" s="73"/>
      <c r="G5" s="68" t="s">
        <v>217</v>
      </c>
      <c r="H5" s="72" t="s">
        <v>289</v>
      </c>
      <c r="I5" s="68"/>
    </row>
    <row r="6" spans="1:10" ht="13.95" customHeight="1" x14ac:dyDescent="0.3">
      <c r="A6" s="68" t="s">
        <v>218</v>
      </c>
      <c r="B6" s="72" t="s">
        <v>295</v>
      </c>
      <c r="C6" s="72"/>
      <c r="D6" s="73"/>
      <c r="G6" s="68" t="s">
        <v>219</v>
      </c>
      <c r="H6" s="72"/>
    </row>
    <row r="7" spans="1:10" ht="13.95" customHeight="1" x14ac:dyDescent="0.3">
      <c r="A7" s="74"/>
      <c r="B7" s="75"/>
      <c r="C7" s="76"/>
      <c r="D7" s="76"/>
      <c r="E7" s="74"/>
      <c r="F7" s="75"/>
      <c r="G7" s="77"/>
      <c r="H7" s="77"/>
      <c r="I7" s="74"/>
      <c r="J7" s="74"/>
    </row>
    <row r="8" spans="1:10" ht="13.95" customHeight="1" x14ac:dyDescent="0.3">
      <c r="A8" s="78" t="s">
        <v>220</v>
      </c>
      <c r="B8" s="68"/>
      <c r="D8" s="78" t="s">
        <v>221</v>
      </c>
      <c r="F8" s="68"/>
      <c r="G8" s="79"/>
      <c r="H8" s="78" t="s">
        <v>222</v>
      </c>
    </row>
    <row r="9" spans="1:10" ht="13.95" customHeight="1" x14ac:dyDescent="0.3">
      <c r="A9" s="80" t="s">
        <v>223</v>
      </c>
      <c r="B9" s="70"/>
      <c r="D9" s="81"/>
      <c r="E9" s="82" t="s">
        <v>224</v>
      </c>
      <c r="F9" s="69"/>
      <c r="H9" s="82"/>
      <c r="I9" s="82" t="s">
        <v>224</v>
      </c>
      <c r="J9" s="69"/>
    </row>
    <row r="10" spans="1:10" ht="13.95" customHeight="1" x14ac:dyDescent="0.3">
      <c r="A10" s="80" t="s">
        <v>225</v>
      </c>
      <c r="B10" s="70"/>
      <c r="D10" s="82"/>
      <c r="E10" s="82" t="s">
        <v>226</v>
      </c>
      <c r="F10" s="83"/>
      <c r="H10" s="79"/>
      <c r="I10" s="82" t="s">
        <v>227</v>
      </c>
      <c r="J10" s="69"/>
    </row>
    <row r="11" spans="1:10" ht="13.95" customHeight="1" x14ac:dyDescent="0.3">
      <c r="A11" s="80" t="s">
        <v>228</v>
      </c>
      <c r="B11" s="70"/>
      <c r="C11" s="81"/>
      <c r="D11" s="81"/>
      <c r="E11" s="82" t="s">
        <v>229</v>
      </c>
      <c r="F11" s="83"/>
      <c r="H11" s="79"/>
      <c r="I11" s="82" t="s">
        <v>230</v>
      </c>
      <c r="J11" s="69"/>
    </row>
    <row r="12" spans="1:10" ht="13.95" customHeight="1" x14ac:dyDescent="0.3">
      <c r="B12" s="68"/>
      <c r="C12" s="81"/>
      <c r="D12" s="81"/>
      <c r="E12" s="82" t="s">
        <v>231</v>
      </c>
      <c r="F12" s="83"/>
      <c r="H12" s="79"/>
      <c r="I12" s="82" t="s">
        <v>232</v>
      </c>
      <c r="J12" s="69"/>
    </row>
    <row r="13" spans="1:10" ht="13.95" customHeight="1" x14ac:dyDescent="0.3">
      <c r="A13" s="78" t="s">
        <v>233</v>
      </c>
      <c r="E13" s="82" t="s">
        <v>234</v>
      </c>
      <c r="F13" s="83"/>
      <c r="I13" s="82" t="s">
        <v>235</v>
      </c>
      <c r="J13" s="69"/>
    </row>
    <row r="14" spans="1:10" ht="13.5" customHeight="1" x14ac:dyDescent="0.3">
      <c r="A14" s="78"/>
      <c r="E14" s="82" t="s">
        <v>236</v>
      </c>
      <c r="F14" s="83">
        <f>'Gravemetric Moisture Content'!G70</f>
        <v>116.98157652469629</v>
      </c>
    </row>
    <row r="15" spans="1:10" ht="13.95" customHeight="1" x14ac:dyDescent="0.3">
      <c r="A15" s="74"/>
      <c r="B15" s="75"/>
      <c r="C15" s="74"/>
      <c r="D15" s="74"/>
      <c r="E15" s="74"/>
      <c r="F15" s="74"/>
      <c r="G15" s="74"/>
      <c r="H15" s="74"/>
      <c r="I15" s="74"/>
      <c r="J15" s="74"/>
    </row>
    <row r="16" spans="1:10" ht="13.95" customHeight="1" x14ac:dyDescent="0.3">
      <c r="A16" s="84" t="s">
        <v>237</v>
      </c>
      <c r="B16" s="85"/>
      <c r="C16" s="85"/>
      <c r="D16" s="85"/>
      <c r="E16" s="85"/>
      <c r="F16" s="85"/>
      <c r="G16" s="85"/>
      <c r="H16" s="85"/>
      <c r="I16" s="85"/>
      <c r="J16" s="85"/>
    </row>
    <row r="17" spans="1:15" ht="13.95" customHeight="1" x14ac:dyDescent="0.3">
      <c r="A17" s="78" t="s">
        <v>238</v>
      </c>
      <c r="B17" s="82"/>
      <c r="C17" s="86"/>
      <c r="D17" s="87" t="s">
        <v>239</v>
      </c>
      <c r="E17" s="86"/>
      <c r="G17" s="88" t="s">
        <v>240</v>
      </c>
      <c r="H17" s="86" t="s">
        <v>241</v>
      </c>
      <c r="I17" s="86"/>
      <c r="J17" s="86"/>
    </row>
    <row r="18" spans="1:15" ht="13.95" customHeight="1" x14ac:dyDescent="0.3">
      <c r="A18" s="78" t="s">
        <v>242</v>
      </c>
      <c r="B18" s="88" t="s">
        <v>243</v>
      </c>
      <c r="C18" s="86"/>
      <c r="E18" s="87" t="s">
        <v>244</v>
      </c>
      <c r="F18" s="86"/>
      <c r="G18" s="89">
        <v>5</v>
      </c>
      <c r="H18" s="86"/>
      <c r="I18" s="86"/>
      <c r="J18" s="86"/>
    </row>
    <row r="19" spans="1:15" s="86" customFormat="1" ht="10.95" customHeight="1" x14ac:dyDescent="0.3">
      <c r="A19" s="78"/>
      <c r="B19" s="90" t="s">
        <v>245</v>
      </c>
      <c r="D19" s="87" t="s">
        <v>246</v>
      </c>
      <c r="F19" s="91"/>
      <c r="G19" s="88" t="s">
        <v>247</v>
      </c>
      <c r="H19" s="91"/>
    </row>
    <row r="20" spans="1:15" s="86" customFormat="1" ht="10.95" customHeight="1" x14ac:dyDescent="0.3">
      <c r="A20" s="92"/>
      <c r="B20" s="74"/>
      <c r="C20" s="74"/>
      <c r="D20" s="93"/>
      <c r="E20" s="74"/>
      <c r="F20" s="74"/>
      <c r="G20" s="74"/>
      <c r="H20" s="74"/>
      <c r="I20" s="74"/>
      <c r="J20" s="74"/>
    </row>
    <row r="21" spans="1:15" s="86" customFormat="1" ht="13.95" customHeight="1" x14ac:dyDescent="0.3">
      <c r="A21" s="78" t="s">
        <v>248</v>
      </c>
      <c r="H21" s="87" t="s">
        <v>249</v>
      </c>
    </row>
    <row r="22" spans="1:15" s="86" customFormat="1" ht="13.95" customHeight="1" x14ac:dyDescent="0.3">
      <c r="A22" s="78" t="s">
        <v>250</v>
      </c>
      <c r="B22" s="88" t="s">
        <v>251</v>
      </c>
      <c r="I22" s="82" t="s">
        <v>252</v>
      </c>
    </row>
    <row r="23" spans="1:15" s="86" customFormat="1" ht="13.95" customHeight="1" x14ac:dyDescent="0.3">
      <c r="A23" s="78"/>
      <c r="I23" s="82" t="s">
        <v>253</v>
      </c>
    </row>
    <row r="24" spans="1:15" s="86" customFormat="1" ht="13.95" customHeight="1" x14ac:dyDescent="0.3">
      <c r="A24" s="78" t="s">
        <v>254</v>
      </c>
      <c r="I24" s="82" t="s">
        <v>255</v>
      </c>
    </row>
    <row r="25" spans="1:15" s="86" customFormat="1" ht="13.95" customHeight="1" x14ac:dyDescent="0.3">
      <c r="A25" s="78" t="s">
        <v>256</v>
      </c>
      <c r="B25" s="94">
        <v>43844</v>
      </c>
      <c r="C25" s="82"/>
      <c r="D25" s="87"/>
      <c r="E25" s="82"/>
      <c r="F25" s="95"/>
      <c r="I25" s="82" t="s">
        <v>257</v>
      </c>
    </row>
    <row r="26" spans="1:15" s="86" customFormat="1" ht="13.95" customHeight="1" x14ac:dyDescent="0.3">
      <c r="A26" s="78" t="s">
        <v>258</v>
      </c>
      <c r="B26" s="149">
        <v>43844.452777777777</v>
      </c>
      <c r="F26" s="82"/>
      <c r="I26" s="82" t="s">
        <v>259</v>
      </c>
    </row>
    <row r="27" spans="1:15" s="86" customFormat="1" ht="13.95" customHeight="1" x14ac:dyDescent="0.3">
      <c r="A27" s="78"/>
      <c r="F27" s="82"/>
      <c r="H27" s="82" t="s">
        <v>260</v>
      </c>
      <c r="N27" s="86">
        <f>4+(0.01248*29)+(0.00795*29^2)</f>
        <v>11.04787</v>
      </c>
      <c r="O27" s="87" t="s">
        <v>6</v>
      </c>
    </row>
    <row r="28" spans="1:15" s="86" customFormat="1" ht="13.95" customHeight="1" x14ac:dyDescent="0.3">
      <c r="A28" s="78"/>
      <c r="B28" s="87"/>
      <c r="G28" s="87" t="s">
        <v>261</v>
      </c>
      <c r="I28" s="88" t="s">
        <v>262</v>
      </c>
      <c r="J28" s="86">
        <f>'Specific Gravity Tests'!B221</f>
        <v>2.6370359965961669</v>
      </c>
      <c r="O28" s="87" t="s">
        <v>263</v>
      </c>
    </row>
    <row r="29" spans="1:15" s="86" customFormat="1" ht="10.95" customHeight="1" thickBot="1" x14ac:dyDescent="0.35"/>
    <row r="30" spans="1:15" s="97" customFormat="1" ht="54" customHeight="1" x14ac:dyDescent="0.3">
      <c r="B30" s="98" t="s">
        <v>264</v>
      </c>
      <c r="C30" s="99" t="s">
        <v>265</v>
      </c>
      <c r="D30" s="100" t="s">
        <v>266</v>
      </c>
      <c r="E30" s="101" t="s">
        <v>267</v>
      </c>
      <c r="F30" s="101" t="s">
        <v>268</v>
      </c>
      <c r="G30" s="101" t="s">
        <v>269</v>
      </c>
      <c r="H30" s="102" t="s">
        <v>270</v>
      </c>
      <c r="J30" s="103"/>
      <c r="K30" s="104"/>
      <c r="L30" s="104"/>
    </row>
    <row r="31" spans="1:15" s="87" customFormat="1" ht="13.95" customHeight="1" x14ac:dyDescent="0.3">
      <c r="B31" s="105">
        <v>0.1</v>
      </c>
      <c r="C31" s="106">
        <v>52</v>
      </c>
      <c r="D31" s="107">
        <v>27</v>
      </c>
      <c r="E31" s="108">
        <f t="shared" ref="E31:E39" si="0">$N$27+(((0.01248*D31)-((0.00795)*D31^2)))</f>
        <v>5.5892799999999996</v>
      </c>
      <c r="F31" s="109">
        <f t="shared" ref="F31:F39" si="1">7.8+(((18.8-7.8)/(60+5))*(60-C31+$N$31))-($N$32/$N$33)</f>
        <v>7.4579799337187751</v>
      </c>
      <c r="G31" s="110">
        <f>(SQRT(((18*0.01)/(0.99821*980.7*($J$28-1))*(F31/(B31*60)))*10))</f>
        <v>3.7364835297420705E-2</v>
      </c>
      <c r="H31" s="111">
        <f t="shared" ref="H31:H39" si="2">0.6226*($J$28/($J$28-1))*((50/$F$14)*(C31-E31))*(100/1000)</f>
        <v>1.9894717913898441</v>
      </c>
      <c r="J31" s="103"/>
      <c r="K31" s="112"/>
      <c r="L31" s="112"/>
      <c r="N31" s="87">
        <v>1</v>
      </c>
      <c r="O31" s="90" t="s">
        <v>271</v>
      </c>
    </row>
    <row r="32" spans="1:15" s="87" customFormat="1" ht="13.95" customHeight="1" x14ac:dyDescent="0.3">
      <c r="B32" s="113">
        <v>1</v>
      </c>
      <c r="C32" s="114">
        <v>52</v>
      </c>
      <c r="D32" s="107">
        <v>27</v>
      </c>
      <c r="E32" s="108">
        <f t="shared" si="0"/>
        <v>5.5892799999999996</v>
      </c>
      <c r="F32" s="109">
        <f t="shared" si="1"/>
        <v>7.4579799337187751</v>
      </c>
      <c r="G32" s="110">
        <f t="shared" ref="G32:G39" si="3">(SQRT(((18*0.01)/(0.99821*980.7*($J$28-1))*(F32/(B32*60)))*10))</f>
        <v>1.1815798393690444E-2</v>
      </c>
      <c r="H32" s="111">
        <f t="shared" si="2"/>
        <v>1.9894717913898441</v>
      </c>
      <c r="J32" s="103"/>
      <c r="K32" s="112"/>
      <c r="L32" s="112"/>
      <c r="N32" s="87">
        <v>60</v>
      </c>
      <c r="O32" s="90" t="s">
        <v>272</v>
      </c>
    </row>
    <row r="33" spans="1:16" s="87" customFormat="1" ht="13.95" customHeight="1" x14ac:dyDescent="0.3">
      <c r="B33" s="113">
        <v>2</v>
      </c>
      <c r="C33" s="114">
        <v>52</v>
      </c>
      <c r="D33" s="107">
        <v>27</v>
      </c>
      <c r="E33" s="108">
        <f t="shared" si="0"/>
        <v>5.5892799999999996</v>
      </c>
      <c r="F33" s="109">
        <f t="shared" si="1"/>
        <v>7.4579799337187751</v>
      </c>
      <c r="G33" s="110">
        <f t="shared" si="3"/>
        <v>8.3550311693116278E-3</v>
      </c>
      <c r="H33" s="111">
        <f t="shared" si="2"/>
        <v>1.9894717913898441</v>
      </c>
      <c r="J33" s="103"/>
      <c r="K33" s="112"/>
      <c r="L33" s="112"/>
      <c r="N33" s="87">
        <f>(PI()*6.4^2)/4</f>
        <v>32.169908772759484</v>
      </c>
      <c r="O33" s="90" t="s">
        <v>273</v>
      </c>
    </row>
    <row r="34" spans="1:16" s="87" customFormat="1" ht="13.95" customHeight="1" x14ac:dyDescent="0.3">
      <c r="B34" s="113">
        <v>4</v>
      </c>
      <c r="C34" s="114">
        <v>52</v>
      </c>
      <c r="D34" s="107">
        <v>27</v>
      </c>
      <c r="E34" s="108">
        <f t="shared" si="0"/>
        <v>5.5892799999999996</v>
      </c>
      <c r="F34" s="109">
        <f t="shared" si="1"/>
        <v>7.4579799337187751</v>
      </c>
      <c r="G34" s="110">
        <f t="shared" si="3"/>
        <v>5.9078991968452219E-3</v>
      </c>
      <c r="H34" s="111">
        <f t="shared" si="2"/>
        <v>1.9894717913898441</v>
      </c>
      <c r="J34" s="103"/>
      <c r="K34" s="112"/>
      <c r="L34" s="112"/>
      <c r="O34" s="90"/>
    </row>
    <row r="35" spans="1:16" s="87" customFormat="1" ht="13.95" customHeight="1" x14ac:dyDescent="0.3">
      <c r="B35" s="113">
        <v>15</v>
      </c>
      <c r="C35" s="114">
        <v>50</v>
      </c>
      <c r="D35" s="107">
        <v>27</v>
      </c>
      <c r="E35" s="108">
        <f t="shared" si="0"/>
        <v>5.5892799999999996</v>
      </c>
      <c r="F35" s="109">
        <f t="shared" si="1"/>
        <v>7.7964414721803124</v>
      </c>
      <c r="G35" s="110">
        <f t="shared" si="3"/>
        <v>3.1192849436780402E-3</v>
      </c>
      <c r="H35" s="111">
        <f t="shared" si="2"/>
        <v>1.903738504279028</v>
      </c>
      <c r="J35" s="103"/>
      <c r="K35" s="112"/>
      <c r="L35" s="112"/>
      <c r="O35" s="90" t="s">
        <v>274</v>
      </c>
      <c r="P35" s="90"/>
    </row>
    <row r="36" spans="1:16" s="87" customFormat="1" ht="13.95" customHeight="1" x14ac:dyDescent="0.3">
      <c r="B36" s="113">
        <v>30</v>
      </c>
      <c r="C36" s="106">
        <v>47</v>
      </c>
      <c r="D36" s="107">
        <v>27</v>
      </c>
      <c r="E36" s="108">
        <f t="shared" si="0"/>
        <v>5.5892799999999996</v>
      </c>
      <c r="F36" s="109">
        <f t="shared" si="1"/>
        <v>8.30413377987262</v>
      </c>
      <c r="G36" s="110">
        <f t="shared" si="3"/>
        <v>2.2763498447742523E-3</v>
      </c>
      <c r="H36" s="111">
        <f t="shared" si="2"/>
        <v>1.7751385736128045</v>
      </c>
      <c r="J36" s="103"/>
      <c r="K36" s="112"/>
      <c r="L36" s="112"/>
      <c r="P36" s="90"/>
    </row>
    <row r="37" spans="1:16" s="87" customFormat="1" ht="13.95" customHeight="1" x14ac:dyDescent="0.3">
      <c r="B37" s="113">
        <v>60</v>
      </c>
      <c r="C37" s="106">
        <v>44</v>
      </c>
      <c r="D37" s="107">
        <v>27</v>
      </c>
      <c r="E37" s="108">
        <f t="shared" si="0"/>
        <v>5.5892799999999996</v>
      </c>
      <c r="F37" s="109">
        <f t="shared" si="1"/>
        <v>8.8118260875649277</v>
      </c>
      <c r="G37" s="110">
        <f t="shared" si="3"/>
        <v>1.6580964917156157E-3</v>
      </c>
      <c r="H37" s="111">
        <f t="shared" si="2"/>
        <v>1.6465386429465807</v>
      </c>
      <c r="J37" s="103"/>
      <c r="K37" s="112"/>
      <c r="L37" s="112"/>
      <c r="N37" s="95">
        <v>1000</v>
      </c>
      <c r="O37" s="90" t="s">
        <v>275</v>
      </c>
      <c r="P37" s="90"/>
    </row>
    <row r="38" spans="1:16" s="87" customFormat="1" ht="13.95" customHeight="1" x14ac:dyDescent="0.3">
      <c r="B38" s="113">
        <v>240</v>
      </c>
      <c r="C38" s="151">
        <v>37</v>
      </c>
      <c r="D38" s="107">
        <v>27</v>
      </c>
      <c r="E38" s="108">
        <f t="shared" si="0"/>
        <v>5.5892799999999996</v>
      </c>
      <c r="F38" s="109">
        <f t="shared" si="1"/>
        <v>9.9964414721803134</v>
      </c>
      <c r="G38" s="110">
        <f t="shared" si="3"/>
        <v>8.8301800675690098E-4</v>
      </c>
      <c r="H38" s="111">
        <f t="shared" si="2"/>
        <v>1.3464721380587248</v>
      </c>
      <c r="J38" s="103"/>
      <c r="K38" s="112"/>
      <c r="L38" s="112"/>
      <c r="O38" s="90" t="s">
        <v>276</v>
      </c>
    </row>
    <row r="39" spans="1:16" s="86" customFormat="1" ht="13.95" customHeight="1" x14ac:dyDescent="0.3">
      <c r="B39" s="113">
        <v>1440</v>
      </c>
      <c r="C39" s="151">
        <v>32</v>
      </c>
      <c r="D39" s="107">
        <v>27</v>
      </c>
      <c r="E39" s="108">
        <f t="shared" si="0"/>
        <v>5.5892799999999996</v>
      </c>
      <c r="F39" s="109">
        <f t="shared" si="1"/>
        <v>10.84259531833416</v>
      </c>
      <c r="G39" s="110">
        <f t="shared" si="3"/>
        <v>3.7543766946007175E-4</v>
      </c>
      <c r="H39" s="111">
        <f t="shared" si="2"/>
        <v>1.1321389202816847</v>
      </c>
      <c r="J39" s="103"/>
      <c r="O39" s="90" t="s">
        <v>277</v>
      </c>
    </row>
    <row r="40" spans="1:16" s="86" customFormat="1" ht="13.95" customHeight="1" x14ac:dyDescent="0.3">
      <c r="B40" s="113"/>
      <c r="C40" s="106"/>
      <c r="D40" s="111"/>
      <c r="E40" s="108"/>
      <c r="F40" s="109"/>
      <c r="G40" s="110"/>
      <c r="H40" s="111"/>
      <c r="J40" s="103"/>
      <c r="O40" s="90" t="s">
        <v>278</v>
      </c>
    </row>
    <row r="41" spans="1:16" s="86" customFormat="1" ht="13.95" customHeight="1" thickBot="1" x14ac:dyDescent="0.35">
      <c r="B41" s="115"/>
      <c r="C41" s="116"/>
      <c r="D41" s="111"/>
      <c r="E41" s="108"/>
      <c r="F41" s="117"/>
      <c r="G41" s="118"/>
      <c r="H41" s="111"/>
      <c r="J41" s="119"/>
    </row>
    <row r="42" spans="1:16" s="86" customFormat="1" ht="13.95" customHeight="1" x14ac:dyDescent="0.3">
      <c r="A42" s="120"/>
      <c r="B42" s="77"/>
      <c r="C42" s="121"/>
      <c r="D42" s="121"/>
      <c r="E42" s="77"/>
      <c r="F42" s="122"/>
      <c r="G42" s="123"/>
      <c r="H42" s="77"/>
      <c r="I42" s="124"/>
      <c r="J42" s="125"/>
    </row>
    <row r="43" spans="1:16" s="86" customFormat="1" ht="13.95" customHeight="1" thickBot="1" x14ac:dyDescent="0.35">
      <c r="A43" s="126"/>
      <c r="B43" s="127"/>
      <c r="C43" s="128"/>
      <c r="D43" s="128"/>
      <c r="E43" s="127"/>
      <c r="F43" s="129"/>
      <c r="G43" s="130"/>
      <c r="H43" s="127"/>
      <c r="I43" s="131"/>
      <c r="J43" s="132"/>
    </row>
    <row r="44" spans="1:16" s="86" customFormat="1" ht="13.95" customHeight="1" x14ac:dyDescent="0.3">
      <c r="A44" s="133"/>
      <c r="C44" s="97"/>
      <c r="D44" s="97"/>
      <c r="E44" s="97"/>
      <c r="F44" s="97"/>
      <c r="G44" s="97"/>
      <c r="H44" s="134"/>
      <c r="I44" s="134"/>
      <c r="J44" s="103"/>
    </row>
    <row r="45" spans="1:16" s="86" customFormat="1" ht="13.95" customHeight="1" x14ac:dyDescent="0.3">
      <c r="A45" s="133"/>
      <c r="C45" s="97"/>
      <c r="D45" s="97"/>
      <c r="E45" s="97"/>
      <c r="F45" s="97"/>
      <c r="G45" s="97"/>
      <c r="H45" s="134"/>
      <c r="I45" s="134"/>
      <c r="J45" s="103"/>
    </row>
    <row r="46" spans="1:16" s="86" customFormat="1" ht="13.95" customHeight="1" x14ac:dyDescent="0.3">
      <c r="A46" s="97" t="s">
        <v>279</v>
      </c>
      <c r="B46" s="97" t="s">
        <v>280</v>
      </c>
      <c r="C46" s="135">
        <f t="shared" ref="C46:C50" si="4">J53</f>
        <v>100</v>
      </c>
      <c r="D46" s="135" t="e">
        <f>#REF!</f>
        <v>#REF!</v>
      </c>
      <c r="F46" s="97"/>
      <c r="G46" s="97">
        <v>9</v>
      </c>
      <c r="H46" s="134"/>
    </row>
    <row r="47" spans="1:16" s="86" customFormat="1" ht="13.95" customHeight="1" x14ac:dyDescent="0.3">
      <c r="A47" s="97"/>
      <c r="B47" s="97"/>
      <c r="C47" s="135">
        <f t="shared" si="4"/>
        <v>99.409500000000008</v>
      </c>
      <c r="D47" s="135" t="e">
        <f>#REF!</f>
        <v>#REF!</v>
      </c>
      <c r="F47" s="97"/>
      <c r="G47" s="97"/>
      <c r="H47" s="184" t="s">
        <v>281</v>
      </c>
      <c r="I47" s="184"/>
      <c r="J47" s="136"/>
    </row>
    <row r="48" spans="1:16" s="86" customFormat="1" ht="13.95" customHeight="1" thickBot="1" x14ac:dyDescent="0.35">
      <c r="A48" s="97">
        <v>4</v>
      </c>
      <c r="B48" s="97">
        <v>4.75</v>
      </c>
      <c r="C48" s="135">
        <f t="shared" si="4"/>
        <v>1.9894717913898441</v>
      </c>
      <c r="D48" s="135" t="e">
        <f>#REF!</f>
        <v>#REF!</v>
      </c>
      <c r="F48" s="97"/>
      <c r="G48" s="97"/>
      <c r="H48" s="134"/>
      <c r="I48" s="136"/>
      <c r="J48" s="136"/>
    </row>
    <row r="49" spans="1:10" s="86" customFormat="1" ht="13.95" customHeight="1" thickBot="1" x14ac:dyDescent="0.35">
      <c r="A49" s="97">
        <v>10</v>
      </c>
      <c r="B49" s="97">
        <v>2</v>
      </c>
      <c r="C49" s="135">
        <f t="shared" si="4"/>
        <v>0</v>
      </c>
      <c r="D49" s="135" t="e">
        <f>#REF!</f>
        <v>#REF!</v>
      </c>
      <c r="F49" s="97"/>
      <c r="G49" s="97"/>
      <c r="H49" s="137" t="s">
        <v>279</v>
      </c>
      <c r="I49" s="137" t="s">
        <v>269</v>
      </c>
      <c r="J49" s="137" t="s">
        <v>282</v>
      </c>
    </row>
    <row r="50" spans="1:10" s="86" customFormat="1" ht="13.95" customHeight="1" x14ac:dyDescent="0.3">
      <c r="A50" s="97">
        <v>40</v>
      </c>
      <c r="B50" s="97">
        <v>0.42499999999999999</v>
      </c>
      <c r="C50" s="135">
        <f t="shared" si="4"/>
        <v>0</v>
      </c>
      <c r="D50" s="135" t="e">
        <f>#REF!</f>
        <v>#REF!</v>
      </c>
      <c r="F50" s="97"/>
      <c r="G50" s="97"/>
      <c r="H50" s="138">
        <v>4</v>
      </c>
      <c r="I50" s="138">
        <v>4.75</v>
      </c>
      <c r="J50" s="138">
        <v>100</v>
      </c>
    </row>
    <row r="51" spans="1:10" s="86" customFormat="1" ht="13.95" customHeight="1" x14ac:dyDescent="0.3">
      <c r="A51" s="97">
        <v>200</v>
      </c>
      <c r="B51" s="97">
        <v>7.4999999999999997E-2</v>
      </c>
      <c r="C51" s="135">
        <f t="shared" ref="C51:C59" si="5">G31</f>
        <v>3.7364835297420705E-2</v>
      </c>
      <c r="D51" s="139" t="e">
        <f>#REF!</f>
        <v>#REF!</v>
      </c>
      <c r="F51" s="97"/>
      <c r="G51" s="97"/>
      <c r="H51" s="140">
        <v>10</v>
      </c>
      <c r="I51" s="140">
        <v>2</v>
      </c>
      <c r="J51" s="140">
        <v>100</v>
      </c>
    </row>
    <row r="52" spans="1:10" s="86" customFormat="1" ht="13.95" customHeight="1" x14ac:dyDescent="0.3">
      <c r="A52" s="133"/>
      <c r="B52" s="141"/>
      <c r="C52" s="135">
        <f t="shared" si="5"/>
        <v>1.1815798393690444E-2</v>
      </c>
      <c r="D52" s="139" t="e">
        <f>#REF!</f>
        <v>#REF!</v>
      </c>
      <c r="E52" s="97"/>
      <c r="F52" s="97"/>
      <c r="G52" s="97"/>
      <c r="H52" s="140">
        <v>40</v>
      </c>
      <c r="I52" s="140">
        <v>0.42499999999999999</v>
      </c>
      <c r="J52" s="140">
        <v>100</v>
      </c>
    </row>
    <row r="53" spans="1:10" s="86" customFormat="1" ht="13.95" customHeight="1" x14ac:dyDescent="0.3">
      <c r="A53" s="142"/>
      <c r="B53" s="143"/>
      <c r="C53" s="135">
        <f t="shared" si="5"/>
        <v>8.3550311693116278E-3</v>
      </c>
      <c r="D53" s="139" t="e">
        <f>#REF!</f>
        <v>#REF!</v>
      </c>
      <c r="E53" s="97"/>
      <c r="F53" s="97"/>
      <c r="G53" s="97"/>
      <c r="H53" s="140">
        <v>100</v>
      </c>
      <c r="I53" s="140">
        <v>0.15</v>
      </c>
      <c r="J53" s="140">
        <v>100</v>
      </c>
    </row>
    <row r="54" spans="1:10" s="86" customFormat="1" ht="13.95" customHeight="1" thickBot="1" x14ac:dyDescent="0.35">
      <c r="A54" s="133"/>
      <c r="B54" s="141"/>
      <c r="C54" s="135">
        <f t="shared" si="5"/>
        <v>5.9078991968452219E-3</v>
      </c>
      <c r="D54" s="139" t="e">
        <f>#REF!</f>
        <v>#REF!</v>
      </c>
      <c r="E54" s="97"/>
      <c r="F54" s="97"/>
      <c r="G54" s="97"/>
      <c r="H54" s="144">
        <v>200</v>
      </c>
      <c r="I54" s="144">
        <v>7.4999999999999997E-2</v>
      </c>
      <c r="J54" s="144">
        <f>'Sieve Analysis'!D83</f>
        <v>99.409500000000008</v>
      </c>
    </row>
    <row r="55" spans="1:10" s="86" customFormat="1" ht="13.95" customHeight="1" x14ac:dyDescent="0.3">
      <c r="A55" s="133"/>
      <c r="B55" s="141"/>
      <c r="C55" s="135">
        <f t="shared" si="5"/>
        <v>3.1192849436780402E-3</v>
      </c>
      <c r="D55" s="139" t="e">
        <f>#REF!</f>
        <v>#REF!</v>
      </c>
      <c r="E55" s="97"/>
      <c r="F55" s="97"/>
      <c r="G55" s="97"/>
      <c r="H55" s="134" t="s">
        <v>300</v>
      </c>
      <c r="I55" s="86">
        <v>3.7364835297420705E-2</v>
      </c>
      <c r="J55" s="86">
        <v>1.9894717913898441</v>
      </c>
    </row>
    <row r="56" spans="1:10" s="86" customFormat="1" ht="13.95" customHeight="1" x14ac:dyDescent="0.3">
      <c r="A56" s="133"/>
      <c r="B56" s="96"/>
      <c r="C56" s="135">
        <f t="shared" si="5"/>
        <v>2.2763498447742523E-3</v>
      </c>
      <c r="D56" s="139" t="e">
        <f>#REF!</f>
        <v>#REF!</v>
      </c>
      <c r="E56" s="97"/>
      <c r="F56" s="97"/>
      <c r="G56" s="97"/>
      <c r="H56" s="134"/>
      <c r="I56" s="134"/>
      <c r="J56" s="134"/>
    </row>
    <row r="57" spans="1:10" s="86" customFormat="1" ht="13.95" customHeight="1" x14ac:dyDescent="0.3">
      <c r="A57" s="133"/>
      <c r="B57" s="141"/>
      <c r="C57" s="135">
        <f t="shared" si="5"/>
        <v>1.6580964917156157E-3</v>
      </c>
      <c r="D57" s="139" t="e">
        <f>#REF!</f>
        <v>#REF!</v>
      </c>
      <c r="E57" s="97"/>
      <c r="F57" s="97"/>
      <c r="G57" s="97"/>
      <c r="H57" s="134"/>
      <c r="I57" s="134"/>
      <c r="J57" s="134"/>
    </row>
    <row r="58" spans="1:10" s="86" customFormat="1" ht="13.95" customHeight="1" x14ac:dyDescent="0.3">
      <c r="B58" s="145"/>
      <c r="C58" s="135">
        <f t="shared" si="5"/>
        <v>8.8301800675690098E-4</v>
      </c>
      <c r="D58" s="139" t="e">
        <f>#REF!</f>
        <v>#REF!</v>
      </c>
      <c r="E58" s="97"/>
      <c r="F58" s="97"/>
      <c r="G58" s="97"/>
      <c r="H58" s="134"/>
      <c r="I58" s="134"/>
      <c r="J58" s="134"/>
    </row>
    <row r="59" spans="1:10" s="86" customFormat="1" ht="13.95" customHeight="1" x14ac:dyDescent="0.3">
      <c r="C59" s="135">
        <f t="shared" si="5"/>
        <v>3.7543766946007175E-4</v>
      </c>
      <c r="D59" s="139" t="e">
        <f>#REF!</f>
        <v>#REF!</v>
      </c>
      <c r="E59" s="97"/>
      <c r="F59" s="97"/>
      <c r="G59" s="97"/>
      <c r="H59" s="134"/>
      <c r="I59" s="134"/>
      <c r="J59" s="134"/>
    </row>
    <row r="60" spans="1:10" s="86" customFormat="1" ht="13.95" customHeight="1" x14ac:dyDescent="0.3">
      <c r="B60" s="145"/>
      <c r="C60" s="135">
        <f>G41</f>
        <v>0</v>
      </c>
      <c r="D60" s="139" t="e">
        <f>#REF!</f>
        <v>#REF!</v>
      </c>
      <c r="E60" s="97"/>
      <c r="F60" s="97"/>
      <c r="G60" s="97"/>
      <c r="H60" s="134"/>
      <c r="I60" s="134"/>
      <c r="J60" s="134"/>
    </row>
    <row r="61" spans="1:10" s="86" customFormat="1" ht="13.95" customHeight="1" x14ac:dyDescent="0.3">
      <c r="B61" s="145"/>
      <c r="C61" s="135">
        <f t="shared" ref="C61:C62" si="6">G42</f>
        <v>0</v>
      </c>
      <c r="D61" s="139" t="e">
        <f>#REF!</f>
        <v>#REF!</v>
      </c>
      <c r="E61" s="97"/>
      <c r="F61" s="97"/>
      <c r="G61" s="97"/>
      <c r="H61" s="134"/>
      <c r="I61" s="134"/>
      <c r="J61" s="134"/>
    </row>
    <row r="62" spans="1:10" s="86" customFormat="1" ht="13.95" customHeight="1" x14ac:dyDescent="0.3">
      <c r="C62" s="135">
        <f t="shared" si="6"/>
        <v>0</v>
      </c>
      <c r="D62" s="139" t="e">
        <f>#REF!</f>
        <v>#REF!</v>
      </c>
      <c r="E62" s="97"/>
      <c r="F62" s="97"/>
      <c r="G62" s="97"/>
      <c r="H62" s="134"/>
      <c r="I62" s="134"/>
      <c r="J62" s="134"/>
    </row>
    <row r="63" spans="1:10" s="86" customFormat="1" ht="13.95" customHeight="1" x14ac:dyDescent="0.3"/>
    <row r="64" spans="1:10" s="86" customFormat="1" ht="13.95" customHeight="1" x14ac:dyDescent="0.3">
      <c r="A64" s="146"/>
    </row>
    <row r="65" spans="1:12" s="86" customFormat="1" ht="13.95" customHeight="1" x14ac:dyDescent="0.3"/>
    <row r="66" spans="1:12" s="86" customFormat="1" ht="13.95" customHeight="1" x14ac:dyDescent="0.3"/>
    <row r="67" spans="1:12" s="86" customFormat="1" ht="13.95" customHeight="1" x14ac:dyDescent="0.3"/>
    <row r="68" spans="1:12" s="86" customFormat="1" ht="13.95" customHeight="1" x14ac:dyDescent="0.3">
      <c r="A68" s="147"/>
      <c r="B68" s="68" t="s">
        <v>283</v>
      </c>
      <c r="D68" s="68" t="s">
        <v>284</v>
      </c>
      <c r="H68" s="68" t="s">
        <v>285</v>
      </c>
    </row>
    <row r="69" spans="1:12" s="86" customFormat="1" ht="18" customHeight="1" x14ac:dyDescent="0.3">
      <c r="I69" s="66"/>
      <c r="J69" s="66"/>
      <c r="K69" s="66"/>
      <c r="L69" s="66"/>
    </row>
    <row r="70" spans="1:12" s="86" customFormat="1" ht="18" customHeight="1" x14ac:dyDescent="0.3">
      <c r="A70" s="147"/>
      <c r="I70" s="66"/>
      <c r="J70" s="66"/>
      <c r="K70" s="66"/>
      <c r="L70" s="66"/>
    </row>
    <row r="71" spans="1:12" s="86" customFormat="1" ht="18" customHeight="1" x14ac:dyDescent="0.3">
      <c r="I71" s="66"/>
      <c r="J71" s="66"/>
      <c r="K71" s="66"/>
      <c r="L71" s="66"/>
    </row>
    <row r="72" spans="1:12" ht="18" customHeight="1" x14ac:dyDescent="0.3"/>
    <row r="73" spans="1:12" ht="18" customHeight="1" x14ac:dyDescent="0.3"/>
    <row r="74" spans="1:12" ht="18" customHeight="1" x14ac:dyDescent="0.3"/>
    <row r="75" spans="1:12" ht="18" customHeight="1" x14ac:dyDescent="0.3"/>
    <row r="76" spans="1:12" ht="18" customHeight="1" x14ac:dyDescent="0.3"/>
  </sheetData>
  <mergeCells count="4">
    <mergeCell ref="A2:J2"/>
    <mergeCell ref="A3:J3"/>
    <mergeCell ref="B4:E4"/>
    <mergeCell ref="H47:I47"/>
  </mergeCells>
  <printOptions horizontalCentered="1"/>
  <pageMargins left="0.5" right="0.5" top="0.5" bottom="0.5" header="0" footer="0"/>
  <pageSetup scale="70" orientation="portrait" horizontalDpi="4294967292" verticalDpi="4294967292" r:id="rId1"/>
  <headerFooter>
    <oddFooter>&amp;L&amp;K000000_x000D_14.333 Geotechnical Laboratory&amp;C&amp;K000000_x000D_Revised 01/12&amp;R&amp;K000000_x000D___ of __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22">
    <pageSetUpPr fitToPage="1"/>
  </sheetPr>
  <dimension ref="A2:P76"/>
  <sheetViews>
    <sheetView view="pageBreakPreview" topLeftCell="A43" zoomScale="130" zoomScaleNormal="175" zoomScaleSheetLayoutView="130" zoomScalePageLayoutView="175" workbookViewId="0">
      <selection activeCell="I62" sqref="I62"/>
    </sheetView>
  </sheetViews>
  <sheetFormatPr defaultColWidth="6.6640625" defaultRowHeight="16.2" customHeight="1" x14ac:dyDescent="0.3"/>
  <cols>
    <col min="1" max="1" width="12.6640625" style="66" customWidth="1"/>
    <col min="2" max="2" width="18.88671875" style="66" customWidth="1"/>
    <col min="3" max="7" width="12.6640625" style="66" customWidth="1"/>
    <col min="8" max="8" width="12.88671875" style="66" customWidth="1"/>
    <col min="9" max="9" width="10.44140625" style="66" customWidth="1"/>
    <col min="10" max="10" width="8" style="66" customWidth="1"/>
    <col min="11" max="13" width="6.6640625" style="66"/>
    <col min="14" max="14" width="8.44140625" style="66" bestFit="1" customWidth="1"/>
    <col min="15" max="16384" width="6.6640625" style="66"/>
  </cols>
  <sheetData>
    <row r="2" spans="1:10" ht="18" customHeight="1" x14ac:dyDescent="0.3">
      <c r="A2" s="182" t="s">
        <v>212</v>
      </c>
      <c r="B2" s="182"/>
      <c r="C2" s="182"/>
      <c r="D2" s="182"/>
      <c r="E2" s="182"/>
      <c r="F2" s="182"/>
      <c r="G2" s="182"/>
      <c r="H2" s="182"/>
      <c r="I2" s="182"/>
      <c r="J2" s="182"/>
    </row>
    <row r="3" spans="1:10" s="67" customFormat="1" ht="18" customHeight="1" x14ac:dyDescent="0.3">
      <c r="A3" s="183" t="s">
        <v>213</v>
      </c>
      <c r="B3" s="183"/>
      <c r="C3" s="183"/>
      <c r="D3" s="183"/>
      <c r="E3" s="183"/>
      <c r="F3" s="183"/>
      <c r="G3" s="183"/>
      <c r="H3" s="183"/>
      <c r="I3" s="183"/>
      <c r="J3" s="183"/>
    </row>
    <row r="4" spans="1:10" ht="40.950000000000003" customHeight="1" x14ac:dyDescent="0.3">
      <c r="A4" s="68" t="s">
        <v>214</v>
      </c>
      <c r="B4" s="185" t="s">
        <v>286</v>
      </c>
      <c r="C4" s="185"/>
      <c r="D4" s="185"/>
      <c r="E4" s="185"/>
      <c r="G4" s="68" t="s">
        <v>215</v>
      </c>
      <c r="H4" s="71"/>
      <c r="I4" s="68"/>
    </row>
    <row r="5" spans="1:10" ht="13.95" customHeight="1" x14ac:dyDescent="0.3">
      <c r="A5" s="68" t="s">
        <v>216</v>
      </c>
      <c r="B5" s="72" t="s">
        <v>287</v>
      </c>
      <c r="C5" s="72"/>
      <c r="D5" s="73"/>
      <c r="G5" s="68" t="s">
        <v>217</v>
      </c>
      <c r="H5" s="72" t="s">
        <v>289</v>
      </c>
      <c r="I5" s="68"/>
    </row>
    <row r="6" spans="1:10" ht="13.95" customHeight="1" x14ac:dyDescent="0.3">
      <c r="A6" s="68" t="s">
        <v>218</v>
      </c>
      <c r="B6" s="72" t="s">
        <v>298</v>
      </c>
      <c r="C6" s="72"/>
      <c r="D6" s="73"/>
      <c r="G6" s="68" t="s">
        <v>219</v>
      </c>
      <c r="H6" s="72"/>
    </row>
    <row r="7" spans="1:10" ht="13.95" customHeight="1" x14ac:dyDescent="0.3">
      <c r="A7" s="74"/>
      <c r="B7" s="75"/>
      <c r="C7" s="76"/>
      <c r="D7" s="76"/>
      <c r="E7" s="74"/>
      <c r="F7" s="75"/>
      <c r="G7" s="77"/>
      <c r="H7" s="77"/>
      <c r="I7" s="74"/>
      <c r="J7" s="74"/>
    </row>
    <row r="8" spans="1:10" ht="13.95" customHeight="1" x14ac:dyDescent="0.3">
      <c r="A8" s="78" t="s">
        <v>220</v>
      </c>
      <c r="B8" s="68"/>
      <c r="D8" s="78" t="s">
        <v>221</v>
      </c>
      <c r="F8" s="68"/>
      <c r="G8" s="79"/>
      <c r="H8" s="78" t="s">
        <v>222</v>
      </c>
    </row>
    <row r="9" spans="1:10" ht="13.95" customHeight="1" x14ac:dyDescent="0.3">
      <c r="A9" s="80" t="s">
        <v>223</v>
      </c>
      <c r="B9" s="70"/>
      <c r="D9" s="81"/>
      <c r="E9" s="82" t="s">
        <v>224</v>
      </c>
      <c r="F9" s="69"/>
      <c r="H9" s="82"/>
      <c r="I9" s="82" t="s">
        <v>224</v>
      </c>
      <c r="J9" s="69"/>
    </row>
    <row r="10" spans="1:10" ht="13.95" customHeight="1" x14ac:dyDescent="0.3">
      <c r="A10" s="80" t="s">
        <v>225</v>
      </c>
      <c r="B10" s="70"/>
      <c r="D10" s="82"/>
      <c r="E10" s="82" t="s">
        <v>226</v>
      </c>
      <c r="F10" s="83"/>
      <c r="H10" s="79"/>
      <c r="I10" s="82" t="s">
        <v>227</v>
      </c>
      <c r="J10" s="69"/>
    </row>
    <row r="11" spans="1:10" ht="13.95" customHeight="1" x14ac:dyDescent="0.3">
      <c r="A11" s="80" t="s">
        <v>228</v>
      </c>
      <c r="B11" s="70"/>
      <c r="C11" s="81"/>
      <c r="D11" s="81"/>
      <c r="E11" s="82" t="s">
        <v>229</v>
      </c>
      <c r="F11" s="83"/>
      <c r="H11" s="79"/>
      <c r="I11" s="82" t="s">
        <v>230</v>
      </c>
      <c r="J11" s="69"/>
    </row>
    <row r="12" spans="1:10" ht="13.95" customHeight="1" x14ac:dyDescent="0.3">
      <c r="B12" s="68"/>
      <c r="C12" s="81"/>
      <c r="D12" s="81"/>
      <c r="E12" s="82" t="s">
        <v>231</v>
      </c>
      <c r="F12" s="83"/>
      <c r="H12" s="79"/>
      <c r="I12" s="82" t="s">
        <v>232</v>
      </c>
      <c r="J12" s="69"/>
    </row>
    <row r="13" spans="1:10" ht="13.95" customHeight="1" x14ac:dyDescent="0.3">
      <c r="A13" s="78" t="s">
        <v>233</v>
      </c>
      <c r="E13" s="82" t="s">
        <v>234</v>
      </c>
      <c r="F13" s="83"/>
      <c r="I13" s="82" t="s">
        <v>235</v>
      </c>
      <c r="J13" s="69"/>
    </row>
    <row r="14" spans="1:10" ht="13.5" customHeight="1" x14ac:dyDescent="0.3">
      <c r="A14" s="78"/>
      <c r="E14" s="82" t="s">
        <v>236</v>
      </c>
      <c r="F14" s="83">
        <f>'Gravemetric Moisture Content'!G82</f>
        <v>116.71297348976158</v>
      </c>
    </row>
    <row r="15" spans="1:10" ht="13.95" customHeight="1" x14ac:dyDescent="0.3">
      <c r="A15" s="74"/>
      <c r="B15" s="75"/>
      <c r="C15" s="74"/>
      <c r="D15" s="74"/>
      <c r="E15" s="74"/>
      <c r="F15" s="74"/>
      <c r="G15" s="74"/>
      <c r="H15" s="74"/>
      <c r="I15" s="74"/>
      <c r="J15" s="74"/>
    </row>
    <row r="16" spans="1:10" ht="13.95" customHeight="1" x14ac:dyDescent="0.3">
      <c r="A16" s="84" t="s">
        <v>237</v>
      </c>
      <c r="B16" s="85"/>
      <c r="C16" s="85"/>
      <c r="D16" s="85"/>
      <c r="E16" s="85"/>
      <c r="F16" s="85"/>
      <c r="G16" s="85"/>
      <c r="H16" s="85"/>
      <c r="I16" s="85"/>
      <c r="J16" s="85"/>
    </row>
    <row r="17" spans="1:15" ht="13.95" customHeight="1" x14ac:dyDescent="0.3">
      <c r="A17" s="78" t="s">
        <v>238</v>
      </c>
      <c r="B17" s="82"/>
      <c r="C17" s="86"/>
      <c r="D17" s="87" t="s">
        <v>239</v>
      </c>
      <c r="E17" s="86"/>
      <c r="G17" s="88" t="s">
        <v>240</v>
      </c>
      <c r="H17" s="86" t="s">
        <v>241</v>
      </c>
      <c r="I17" s="86"/>
      <c r="J17" s="86"/>
    </row>
    <row r="18" spans="1:15" ht="13.95" customHeight="1" x14ac:dyDescent="0.3">
      <c r="A18" s="78" t="s">
        <v>242</v>
      </c>
      <c r="B18" s="88" t="s">
        <v>243</v>
      </c>
      <c r="C18" s="86"/>
      <c r="E18" s="87" t="s">
        <v>244</v>
      </c>
      <c r="F18" s="86"/>
      <c r="G18" s="89">
        <v>5</v>
      </c>
      <c r="H18" s="86"/>
      <c r="I18" s="86"/>
      <c r="J18" s="86"/>
    </row>
    <row r="19" spans="1:15" s="86" customFormat="1" ht="10.95" customHeight="1" x14ac:dyDescent="0.3">
      <c r="A19" s="78"/>
      <c r="B19" s="90" t="s">
        <v>245</v>
      </c>
      <c r="D19" s="87" t="s">
        <v>246</v>
      </c>
      <c r="F19" s="91"/>
      <c r="G19" s="88" t="s">
        <v>247</v>
      </c>
      <c r="H19" s="91"/>
    </row>
    <row r="20" spans="1:15" s="86" customFormat="1" ht="10.95" customHeight="1" x14ac:dyDescent="0.3">
      <c r="A20" s="92"/>
      <c r="B20" s="74"/>
      <c r="C20" s="74"/>
      <c r="D20" s="93"/>
      <c r="E20" s="74"/>
      <c r="F20" s="74"/>
      <c r="G20" s="74"/>
      <c r="H20" s="74"/>
      <c r="I20" s="74"/>
      <c r="J20" s="74"/>
    </row>
    <row r="21" spans="1:15" s="86" customFormat="1" ht="13.95" customHeight="1" x14ac:dyDescent="0.3">
      <c r="A21" s="78" t="s">
        <v>248</v>
      </c>
      <c r="H21" s="87" t="s">
        <v>249</v>
      </c>
    </row>
    <row r="22" spans="1:15" s="86" customFormat="1" ht="13.95" customHeight="1" x14ac:dyDescent="0.3">
      <c r="A22" s="78" t="s">
        <v>250</v>
      </c>
      <c r="B22" s="88" t="s">
        <v>251</v>
      </c>
      <c r="I22" s="82" t="s">
        <v>252</v>
      </c>
    </row>
    <row r="23" spans="1:15" s="86" customFormat="1" ht="13.95" customHeight="1" x14ac:dyDescent="0.3">
      <c r="A23" s="78"/>
      <c r="I23" s="82" t="s">
        <v>253</v>
      </c>
    </row>
    <row r="24" spans="1:15" s="86" customFormat="1" ht="13.95" customHeight="1" x14ac:dyDescent="0.3">
      <c r="A24" s="78" t="s">
        <v>254</v>
      </c>
      <c r="I24" s="82" t="s">
        <v>255</v>
      </c>
    </row>
    <row r="25" spans="1:15" s="86" customFormat="1" ht="13.95" customHeight="1" x14ac:dyDescent="0.3">
      <c r="A25" s="78" t="s">
        <v>256</v>
      </c>
      <c r="B25" s="94">
        <v>43844</v>
      </c>
      <c r="C25" s="82"/>
      <c r="D25" s="87"/>
      <c r="E25" s="82"/>
      <c r="F25" s="95"/>
      <c r="I25" s="82" t="s">
        <v>257</v>
      </c>
    </row>
    <row r="26" spans="1:15" s="86" customFormat="1" ht="13.95" customHeight="1" x14ac:dyDescent="0.3">
      <c r="A26" s="78" t="s">
        <v>258</v>
      </c>
      <c r="B26" s="149">
        <v>43844.452777777777</v>
      </c>
      <c r="F26" s="82"/>
      <c r="I26" s="82" t="s">
        <v>259</v>
      </c>
    </row>
    <row r="27" spans="1:15" s="86" customFormat="1" ht="13.95" customHeight="1" x14ac:dyDescent="0.3">
      <c r="A27" s="78"/>
      <c r="F27" s="82"/>
      <c r="H27" s="82" t="s">
        <v>260</v>
      </c>
      <c r="N27" s="86">
        <f>4+(0.01248*29)+(0.00795*29^2)</f>
        <v>11.04787</v>
      </c>
      <c r="O27" s="87" t="s">
        <v>6</v>
      </c>
    </row>
    <row r="28" spans="1:15" s="86" customFormat="1" ht="13.95" customHeight="1" x14ac:dyDescent="0.3">
      <c r="A28" s="78"/>
      <c r="B28" s="87"/>
      <c r="G28" s="87" t="s">
        <v>261</v>
      </c>
      <c r="I28" s="88" t="s">
        <v>262</v>
      </c>
      <c r="J28" s="86">
        <f>'Specific Gravity Tests'!B257</f>
        <v>2.6556072845844358</v>
      </c>
      <c r="O28" s="87" t="s">
        <v>263</v>
      </c>
    </row>
    <row r="29" spans="1:15" s="86" customFormat="1" ht="10.95" customHeight="1" thickBot="1" x14ac:dyDescent="0.35"/>
    <row r="30" spans="1:15" s="97" customFormat="1" ht="54" customHeight="1" x14ac:dyDescent="0.3">
      <c r="B30" s="98" t="s">
        <v>264</v>
      </c>
      <c r="C30" s="99" t="s">
        <v>265</v>
      </c>
      <c r="D30" s="100" t="s">
        <v>266</v>
      </c>
      <c r="E30" s="101" t="s">
        <v>267</v>
      </c>
      <c r="F30" s="101" t="s">
        <v>268</v>
      </c>
      <c r="G30" s="101" t="s">
        <v>269</v>
      </c>
      <c r="H30" s="102" t="s">
        <v>270</v>
      </c>
      <c r="J30" s="103"/>
      <c r="K30" s="104"/>
      <c r="L30" s="104"/>
    </row>
    <row r="31" spans="1:15" s="87" customFormat="1" ht="13.95" customHeight="1" x14ac:dyDescent="0.3">
      <c r="B31" s="105">
        <v>0.1</v>
      </c>
      <c r="C31" s="106">
        <v>52</v>
      </c>
      <c r="D31" s="107">
        <v>27</v>
      </c>
      <c r="E31" s="108">
        <f t="shared" ref="E31:E39" si="0">$N$27+(((0.01248*D31)-((0.00795)*D31^2)))</f>
        <v>5.5892799999999996</v>
      </c>
      <c r="F31" s="109">
        <f t="shared" ref="F31:F39" si="1">7.8+(((18.8-7.8)/(60+5))*(60-C31+$N$31))-($N$32/$N$33)</f>
        <v>7.4579799337187751</v>
      </c>
      <c r="G31" s="110">
        <f>(SQRT(((18*0.01)/(0.99821*980.7*($J$28-1))*(F31/(B31*60)))*10))</f>
        <v>3.7154679768342573E-2</v>
      </c>
      <c r="H31" s="111">
        <f t="shared" ref="H31:H39" si="2">0.6226*($J$28/($J$28-1))*((50/$F$14)*(C31-E31))*(100/1000)</f>
        <v>1.9855682315339938</v>
      </c>
      <c r="J31" s="103"/>
      <c r="K31" s="112"/>
      <c r="L31" s="112"/>
      <c r="N31" s="87">
        <v>1</v>
      </c>
      <c r="O31" s="90" t="s">
        <v>271</v>
      </c>
    </row>
    <row r="32" spans="1:15" s="87" customFormat="1" ht="13.95" customHeight="1" x14ac:dyDescent="0.3">
      <c r="B32" s="113">
        <v>1</v>
      </c>
      <c r="C32" s="114">
        <v>52</v>
      </c>
      <c r="D32" s="107">
        <v>27</v>
      </c>
      <c r="E32" s="108">
        <f t="shared" si="0"/>
        <v>5.5892799999999996</v>
      </c>
      <c r="F32" s="109">
        <f t="shared" si="1"/>
        <v>7.4579799337187751</v>
      </c>
      <c r="G32" s="110">
        <f t="shared" ref="G32:G39" si="3">(SQRT(((18*0.01)/(0.99821*980.7*($J$28-1))*(F32/(B32*60)))*10))</f>
        <v>1.1749341380213978E-2</v>
      </c>
      <c r="H32" s="111">
        <f t="shared" si="2"/>
        <v>1.9855682315339938</v>
      </c>
      <c r="J32" s="103"/>
      <c r="K32" s="112"/>
      <c r="L32" s="112"/>
      <c r="N32" s="87">
        <v>60</v>
      </c>
      <c r="O32" s="90" t="s">
        <v>272</v>
      </c>
    </row>
    <row r="33" spans="1:16" s="87" customFormat="1" ht="13.95" customHeight="1" x14ac:dyDescent="0.3">
      <c r="B33" s="113">
        <v>2</v>
      </c>
      <c r="C33" s="114">
        <v>52</v>
      </c>
      <c r="D33" s="107">
        <v>27</v>
      </c>
      <c r="E33" s="108">
        <f t="shared" si="0"/>
        <v>5.5892799999999996</v>
      </c>
      <c r="F33" s="109">
        <f t="shared" si="1"/>
        <v>7.4579799337187751</v>
      </c>
      <c r="G33" s="110">
        <f t="shared" si="3"/>
        <v>8.308038964425014E-3</v>
      </c>
      <c r="H33" s="111">
        <f t="shared" si="2"/>
        <v>1.9855682315339938</v>
      </c>
      <c r="J33" s="103"/>
      <c r="K33" s="112"/>
      <c r="L33" s="112"/>
      <c r="N33" s="87">
        <f>(PI()*6.4^2)/4</f>
        <v>32.169908772759484</v>
      </c>
      <c r="O33" s="90" t="s">
        <v>273</v>
      </c>
    </row>
    <row r="34" spans="1:16" s="87" customFormat="1" ht="13.95" customHeight="1" x14ac:dyDescent="0.3">
      <c r="B34" s="113">
        <v>4</v>
      </c>
      <c r="C34" s="114">
        <v>51</v>
      </c>
      <c r="D34" s="107">
        <v>27</v>
      </c>
      <c r="E34" s="108">
        <f t="shared" si="0"/>
        <v>5.5892799999999996</v>
      </c>
      <c r="F34" s="109">
        <f t="shared" si="1"/>
        <v>7.6272107029495437</v>
      </c>
      <c r="G34" s="110">
        <f t="shared" si="3"/>
        <v>5.9409485815273997E-3</v>
      </c>
      <c r="H34" s="111">
        <f t="shared" si="2"/>
        <v>1.9427856969916726</v>
      </c>
      <c r="J34" s="103"/>
      <c r="K34" s="112"/>
      <c r="L34" s="112"/>
      <c r="O34" s="90"/>
    </row>
    <row r="35" spans="1:16" s="87" customFormat="1" ht="13.95" customHeight="1" x14ac:dyDescent="0.3">
      <c r="B35" s="113">
        <v>15</v>
      </c>
      <c r="C35" s="114">
        <v>48</v>
      </c>
      <c r="D35" s="107">
        <v>27</v>
      </c>
      <c r="E35" s="108">
        <f t="shared" si="0"/>
        <v>5.5892799999999996</v>
      </c>
      <c r="F35" s="109">
        <f t="shared" si="1"/>
        <v>8.1349030106418514</v>
      </c>
      <c r="G35" s="110">
        <f t="shared" si="3"/>
        <v>3.1683523811513689E-3</v>
      </c>
      <c r="H35" s="111">
        <f t="shared" si="2"/>
        <v>1.8144380933647093</v>
      </c>
      <c r="J35" s="103"/>
      <c r="K35" s="112"/>
      <c r="L35" s="112"/>
      <c r="O35" s="90" t="s">
        <v>274</v>
      </c>
      <c r="P35" s="90"/>
    </row>
    <row r="36" spans="1:16" s="87" customFormat="1" ht="13.95" customHeight="1" x14ac:dyDescent="0.3">
      <c r="B36" s="113">
        <v>30</v>
      </c>
      <c r="C36" s="106">
        <v>45</v>
      </c>
      <c r="D36" s="107">
        <v>27</v>
      </c>
      <c r="E36" s="108">
        <f t="shared" si="0"/>
        <v>5.5892799999999996</v>
      </c>
      <c r="F36" s="109">
        <f t="shared" si="1"/>
        <v>8.6425953183341591</v>
      </c>
      <c r="G36" s="110">
        <f t="shared" si="3"/>
        <v>2.3092150480269035E-3</v>
      </c>
      <c r="H36" s="111">
        <f t="shared" si="2"/>
        <v>1.6860904897377456</v>
      </c>
      <c r="J36" s="103"/>
      <c r="K36" s="112"/>
      <c r="L36" s="112"/>
      <c r="P36" s="90"/>
    </row>
    <row r="37" spans="1:16" s="87" customFormat="1" ht="13.95" customHeight="1" x14ac:dyDescent="0.3">
      <c r="B37" s="113">
        <v>60</v>
      </c>
      <c r="C37" s="106">
        <v>44</v>
      </c>
      <c r="D37" s="107">
        <v>27</v>
      </c>
      <c r="E37" s="108">
        <f t="shared" si="0"/>
        <v>5.5892799999999996</v>
      </c>
      <c r="F37" s="109">
        <f t="shared" si="1"/>
        <v>8.8118260875649277</v>
      </c>
      <c r="G37" s="110">
        <f t="shared" si="3"/>
        <v>1.648770660550955E-3</v>
      </c>
      <c r="H37" s="111">
        <f t="shared" si="2"/>
        <v>1.6433079551954248</v>
      </c>
      <c r="J37" s="103"/>
      <c r="K37" s="112"/>
      <c r="L37" s="112"/>
      <c r="N37" s="95">
        <v>1000</v>
      </c>
      <c r="O37" s="90" t="s">
        <v>275</v>
      </c>
      <c r="P37" s="90"/>
    </row>
    <row r="38" spans="1:16" s="87" customFormat="1" ht="13.95" customHeight="1" x14ac:dyDescent="0.3">
      <c r="B38" s="113">
        <v>240</v>
      </c>
      <c r="C38" s="151">
        <v>36</v>
      </c>
      <c r="D38" s="107">
        <v>27</v>
      </c>
      <c r="E38" s="108">
        <f t="shared" si="0"/>
        <v>5.5892799999999996</v>
      </c>
      <c r="F38" s="109">
        <f t="shared" si="1"/>
        <v>10.165672241411082</v>
      </c>
      <c r="G38" s="110">
        <f t="shared" si="3"/>
        <v>8.8545266216031064E-4</v>
      </c>
      <c r="H38" s="111">
        <f t="shared" si="2"/>
        <v>1.3010476788568559</v>
      </c>
      <c r="J38" s="103"/>
      <c r="K38" s="112"/>
      <c r="L38" s="112"/>
      <c r="O38" s="90" t="s">
        <v>276</v>
      </c>
    </row>
    <row r="39" spans="1:16" s="86" customFormat="1" ht="13.95" customHeight="1" x14ac:dyDescent="0.3">
      <c r="B39" s="113">
        <v>1440</v>
      </c>
      <c r="C39" s="151">
        <v>32</v>
      </c>
      <c r="D39" s="107">
        <v>27</v>
      </c>
      <c r="E39" s="108">
        <f t="shared" si="0"/>
        <v>5.5892799999999996</v>
      </c>
      <c r="F39" s="109">
        <f t="shared" si="1"/>
        <v>10.84259531833416</v>
      </c>
      <c r="G39" s="110">
        <f t="shared" si="3"/>
        <v>3.7332605030175874E-4</v>
      </c>
      <c r="H39" s="111">
        <f t="shared" si="2"/>
        <v>1.1299175406875714</v>
      </c>
      <c r="J39" s="103"/>
      <c r="O39" s="90" t="s">
        <v>277</v>
      </c>
    </row>
    <row r="40" spans="1:16" s="86" customFormat="1" ht="13.95" customHeight="1" x14ac:dyDescent="0.3">
      <c r="B40" s="113"/>
      <c r="C40" s="106"/>
      <c r="D40" s="111"/>
      <c r="E40" s="108"/>
      <c r="F40" s="109"/>
      <c r="G40" s="110"/>
      <c r="H40" s="111"/>
      <c r="J40" s="103"/>
      <c r="O40" s="90" t="s">
        <v>278</v>
      </c>
    </row>
    <row r="41" spans="1:16" s="86" customFormat="1" ht="13.95" customHeight="1" thickBot="1" x14ac:dyDescent="0.35">
      <c r="B41" s="115"/>
      <c r="C41" s="116"/>
      <c r="D41" s="111"/>
      <c r="E41" s="108"/>
      <c r="F41" s="117"/>
      <c r="G41" s="118"/>
      <c r="H41" s="111"/>
      <c r="J41" s="119"/>
    </row>
    <row r="42" spans="1:16" s="86" customFormat="1" ht="13.95" customHeight="1" x14ac:dyDescent="0.3">
      <c r="A42" s="120"/>
      <c r="B42" s="77"/>
      <c r="C42" s="121"/>
      <c r="D42" s="121"/>
      <c r="E42" s="77"/>
      <c r="F42" s="122"/>
      <c r="G42" s="123"/>
      <c r="H42" s="77"/>
      <c r="I42" s="124"/>
      <c r="J42" s="125"/>
    </row>
    <row r="43" spans="1:16" s="86" customFormat="1" ht="13.95" customHeight="1" thickBot="1" x14ac:dyDescent="0.35">
      <c r="A43" s="126"/>
      <c r="B43" s="127"/>
      <c r="C43" s="128"/>
      <c r="D43" s="128"/>
      <c r="E43" s="127"/>
      <c r="F43" s="129"/>
      <c r="G43" s="130"/>
      <c r="H43" s="127"/>
      <c r="I43" s="131"/>
      <c r="J43" s="132"/>
    </row>
    <row r="44" spans="1:16" s="86" customFormat="1" ht="13.95" customHeight="1" x14ac:dyDescent="0.3">
      <c r="A44" s="133"/>
      <c r="C44" s="97"/>
      <c r="D44" s="97"/>
      <c r="E44" s="97"/>
      <c r="F44" s="97"/>
      <c r="G44" s="97"/>
      <c r="H44" s="134"/>
      <c r="I44" s="134"/>
      <c r="J44" s="103"/>
    </row>
    <row r="45" spans="1:16" s="86" customFormat="1" ht="13.95" customHeight="1" x14ac:dyDescent="0.3">
      <c r="A45" s="133"/>
      <c r="C45" s="97"/>
      <c r="D45" s="97"/>
      <c r="E45" s="97"/>
      <c r="F45" s="97"/>
      <c r="G45" s="97"/>
      <c r="H45" s="134"/>
      <c r="I45" s="134"/>
      <c r="J45" s="103"/>
    </row>
    <row r="46" spans="1:16" s="86" customFormat="1" ht="13.95" customHeight="1" x14ac:dyDescent="0.3">
      <c r="A46" s="97" t="s">
        <v>279</v>
      </c>
      <c r="B46" s="97" t="s">
        <v>280</v>
      </c>
      <c r="C46" s="135">
        <f t="shared" ref="C46:C50" si="4">J53</f>
        <v>100</v>
      </c>
      <c r="D46" s="135" t="e">
        <f>#REF!</f>
        <v>#REF!</v>
      </c>
      <c r="F46" s="97"/>
      <c r="G46" s="97">
        <v>9</v>
      </c>
      <c r="H46" s="134"/>
    </row>
    <row r="47" spans="1:16" s="86" customFormat="1" ht="13.95" customHeight="1" x14ac:dyDescent="0.3">
      <c r="A47" s="97"/>
      <c r="B47" s="97"/>
      <c r="C47" s="135">
        <f t="shared" si="4"/>
        <v>98.923000000000002</v>
      </c>
      <c r="D47" s="135" t="e">
        <f>#REF!</f>
        <v>#REF!</v>
      </c>
      <c r="F47" s="97"/>
      <c r="G47" s="97"/>
      <c r="H47" s="184" t="s">
        <v>281</v>
      </c>
      <c r="I47" s="184"/>
      <c r="J47" s="136"/>
    </row>
    <row r="48" spans="1:16" s="86" customFormat="1" ht="13.95" customHeight="1" thickBot="1" x14ac:dyDescent="0.35">
      <c r="A48" s="97">
        <v>4</v>
      </c>
      <c r="B48" s="97">
        <v>4.75</v>
      </c>
      <c r="C48" s="135">
        <f t="shared" si="4"/>
        <v>1.9855682315339938</v>
      </c>
      <c r="D48" s="135" t="e">
        <f>#REF!</f>
        <v>#REF!</v>
      </c>
      <c r="F48" s="97"/>
      <c r="G48" s="97"/>
      <c r="H48" s="134"/>
      <c r="I48" s="136"/>
      <c r="J48" s="136"/>
    </row>
    <row r="49" spans="1:10" s="86" customFormat="1" ht="13.95" customHeight="1" thickBot="1" x14ac:dyDescent="0.35">
      <c r="A49" s="97">
        <v>10</v>
      </c>
      <c r="B49" s="97">
        <v>2</v>
      </c>
      <c r="C49" s="135">
        <f t="shared" si="4"/>
        <v>0</v>
      </c>
      <c r="D49" s="135" t="e">
        <f>#REF!</f>
        <v>#REF!</v>
      </c>
      <c r="F49" s="97"/>
      <c r="G49" s="97"/>
      <c r="H49" s="137" t="s">
        <v>279</v>
      </c>
      <c r="I49" s="137" t="s">
        <v>269</v>
      </c>
      <c r="J49" s="137" t="s">
        <v>282</v>
      </c>
    </row>
    <row r="50" spans="1:10" s="86" customFormat="1" ht="13.95" customHeight="1" x14ac:dyDescent="0.3">
      <c r="A50" s="97">
        <v>40</v>
      </c>
      <c r="B50" s="97">
        <v>0.42499999999999999</v>
      </c>
      <c r="C50" s="135">
        <f t="shared" si="4"/>
        <v>0</v>
      </c>
      <c r="D50" s="135" t="e">
        <f>#REF!</f>
        <v>#REF!</v>
      </c>
      <c r="F50" s="97"/>
      <c r="G50" s="97"/>
      <c r="H50" s="138">
        <v>4</v>
      </c>
      <c r="I50" s="138">
        <v>4.75</v>
      </c>
      <c r="J50" s="138">
        <v>100</v>
      </c>
    </row>
    <row r="51" spans="1:10" s="86" customFormat="1" ht="13.95" customHeight="1" x14ac:dyDescent="0.3">
      <c r="A51" s="97">
        <v>200</v>
      </c>
      <c r="B51" s="97">
        <v>7.4999999999999997E-2</v>
      </c>
      <c r="C51" s="135">
        <f t="shared" ref="C51:C59" si="5">G31</f>
        <v>3.7154679768342573E-2</v>
      </c>
      <c r="D51" s="139" t="e">
        <f>#REF!</f>
        <v>#REF!</v>
      </c>
      <c r="F51" s="97"/>
      <c r="G51" s="97"/>
      <c r="H51" s="140">
        <v>10</v>
      </c>
      <c r="I51" s="140">
        <v>2</v>
      </c>
      <c r="J51" s="140">
        <v>100</v>
      </c>
    </row>
    <row r="52" spans="1:10" s="86" customFormat="1" ht="13.95" customHeight="1" x14ac:dyDescent="0.3">
      <c r="A52" s="133"/>
      <c r="B52" s="141"/>
      <c r="C52" s="135">
        <f t="shared" si="5"/>
        <v>1.1749341380213978E-2</v>
      </c>
      <c r="D52" s="139" t="e">
        <f>#REF!</f>
        <v>#REF!</v>
      </c>
      <c r="E52" s="97"/>
      <c r="F52" s="97"/>
      <c r="G52" s="97"/>
      <c r="H52" s="140">
        <v>40</v>
      </c>
      <c r="I52" s="140">
        <v>0.42499999999999999</v>
      </c>
      <c r="J52" s="140">
        <v>100</v>
      </c>
    </row>
    <row r="53" spans="1:10" s="86" customFormat="1" ht="13.95" customHeight="1" x14ac:dyDescent="0.3">
      <c r="A53" s="142"/>
      <c r="B53" s="143"/>
      <c r="C53" s="135">
        <f t="shared" si="5"/>
        <v>8.308038964425014E-3</v>
      </c>
      <c r="D53" s="139" t="e">
        <f>#REF!</f>
        <v>#REF!</v>
      </c>
      <c r="E53" s="97"/>
      <c r="F53" s="97"/>
      <c r="G53" s="97"/>
      <c r="H53" s="140">
        <v>100</v>
      </c>
      <c r="I53" s="140">
        <v>0.15</v>
      </c>
      <c r="J53" s="140">
        <v>100</v>
      </c>
    </row>
    <row r="54" spans="1:10" s="86" customFormat="1" ht="13.95" customHeight="1" thickBot="1" x14ac:dyDescent="0.35">
      <c r="A54" s="133"/>
      <c r="B54" s="141"/>
      <c r="C54" s="135">
        <f t="shared" si="5"/>
        <v>5.9409485815273997E-3</v>
      </c>
      <c r="D54" s="139" t="e">
        <f>#REF!</f>
        <v>#REF!</v>
      </c>
      <c r="E54" s="97"/>
      <c r="F54" s="97"/>
      <c r="G54" s="97"/>
      <c r="H54" s="144">
        <v>200</v>
      </c>
      <c r="I54" s="144">
        <v>7.4999999999999997E-2</v>
      </c>
      <c r="J54" s="144">
        <f>'Sieve Analysis'!D96</f>
        <v>98.923000000000002</v>
      </c>
    </row>
    <row r="55" spans="1:10" s="86" customFormat="1" ht="13.95" customHeight="1" x14ac:dyDescent="0.3">
      <c r="A55" s="133"/>
      <c r="B55" s="141"/>
      <c r="C55" s="135">
        <f t="shared" si="5"/>
        <v>3.1683523811513689E-3</v>
      </c>
      <c r="D55" s="139" t="e">
        <f>#REF!</f>
        <v>#REF!</v>
      </c>
      <c r="E55" s="97"/>
      <c r="F55" s="97"/>
      <c r="G55" s="97"/>
      <c r="H55" s="134" t="s">
        <v>300</v>
      </c>
      <c r="I55" s="86">
        <v>3.7154679768342573E-2</v>
      </c>
      <c r="J55" s="86">
        <v>1.9855682315339938</v>
      </c>
    </row>
    <row r="56" spans="1:10" s="86" customFormat="1" ht="13.95" customHeight="1" x14ac:dyDescent="0.3">
      <c r="A56" s="133"/>
      <c r="B56" s="96"/>
      <c r="C56" s="135">
        <f t="shared" si="5"/>
        <v>2.3092150480269035E-3</v>
      </c>
      <c r="D56" s="139" t="e">
        <f>#REF!</f>
        <v>#REF!</v>
      </c>
      <c r="E56" s="97"/>
      <c r="F56" s="97"/>
      <c r="G56" s="97"/>
      <c r="H56" s="134"/>
      <c r="I56" s="134"/>
      <c r="J56" s="134"/>
    </row>
    <row r="57" spans="1:10" s="86" customFormat="1" ht="13.95" customHeight="1" x14ac:dyDescent="0.3">
      <c r="A57" s="133"/>
      <c r="B57" s="141"/>
      <c r="C57" s="135">
        <f t="shared" si="5"/>
        <v>1.648770660550955E-3</v>
      </c>
      <c r="D57" s="139" t="e">
        <f>#REF!</f>
        <v>#REF!</v>
      </c>
      <c r="E57" s="97"/>
      <c r="F57" s="97"/>
      <c r="G57" s="97"/>
      <c r="H57" s="134"/>
      <c r="I57" s="134"/>
      <c r="J57" s="134"/>
    </row>
    <row r="58" spans="1:10" s="86" customFormat="1" ht="13.95" customHeight="1" x14ac:dyDescent="0.3">
      <c r="B58" s="145"/>
      <c r="C58" s="135">
        <f t="shared" si="5"/>
        <v>8.8545266216031064E-4</v>
      </c>
      <c r="D58" s="139" t="e">
        <f>#REF!</f>
        <v>#REF!</v>
      </c>
      <c r="E58" s="97"/>
      <c r="F58" s="97"/>
      <c r="G58" s="97"/>
      <c r="H58" s="134"/>
      <c r="I58" s="134"/>
      <c r="J58" s="134"/>
    </row>
    <row r="59" spans="1:10" s="86" customFormat="1" ht="13.95" customHeight="1" x14ac:dyDescent="0.3">
      <c r="C59" s="135">
        <f t="shared" si="5"/>
        <v>3.7332605030175874E-4</v>
      </c>
      <c r="D59" s="139" t="e">
        <f>#REF!</f>
        <v>#REF!</v>
      </c>
      <c r="E59" s="97"/>
      <c r="F59" s="97"/>
      <c r="G59" s="97"/>
      <c r="H59" s="134"/>
      <c r="I59" s="134"/>
      <c r="J59" s="134"/>
    </row>
    <row r="60" spans="1:10" s="86" customFormat="1" ht="13.95" customHeight="1" x14ac:dyDescent="0.3">
      <c r="B60" s="145"/>
      <c r="C60" s="135">
        <f>G41</f>
        <v>0</v>
      </c>
      <c r="D60" s="139" t="e">
        <f>#REF!</f>
        <v>#REF!</v>
      </c>
      <c r="E60" s="97"/>
      <c r="F60" s="97"/>
      <c r="G60" s="97"/>
      <c r="H60" s="134"/>
      <c r="I60" s="134"/>
      <c r="J60" s="134"/>
    </row>
    <row r="61" spans="1:10" s="86" customFormat="1" ht="13.95" customHeight="1" x14ac:dyDescent="0.3">
      <c r="B61" s="145"/>
      <c r="C61" s="135">
        <f t="shared" ref="C61:C62" si="6">G42</f>
        <v>0</v>
      </c>
      <c r="D61" s="139" t="e">
        <f>#REF!</f>
        <v>#REF!</v>
      </c>
      <c r="E61" s="97"/>
      <c r="F61" s="97"/>
      <c r="G61" s="97"/>
      <c r="H61" s="134"/>
      <c r="I61" s="134"/>
      <c r="J61" s="134"/>
    </row>
    <row r="62" spans="1:10" s="86" customFormat="1" ht="13.95" customHeight="1" x14ac:dyDescent="0.3">
      <c r="C62" s="135">
        <f t="shared" si="6"/>
        <v>0</v>
      </c>
      <c r="D62" s="139" t="e">
        <f>#REF!</f>
        <v>#REF!</v>
      </c>
      <c r="E62" s="97"/>
      <c r="F62" s="97"/>
      <c r="G62" s="97"/>
      <c r="H62" s="134"/>
      <c r="I62" s="134"/>
      <c r="J62" s="134"/>
    </row>
    <row r="63" spans="1:10" s="86" customFormat="1" ht="13.95" customHeight="1" x14ac:dyDescent="0.3"/>
    <row r="64" spans="1:10" s="86" customFormat="1" ht="13.95" customHeight="1" x14ac:dyDescent="0.3">
      <c r="A64" s="146"/>
    </row>
    <row r="65" spans="1:12" s="86" customFormat="1" ht="13.95" customHeight="1" x14ac:dyDescent="0.3"/>
    <row r="66" spans="1:12" s="86" customFormat="1" ht="13.95" customHeight="1" x14ac:dyDescent="0.3"/>
    <row r="67" spans="1:12" s="86" customFormat="1" ht="13.95" customHeight="1" x14ac:dyDescent="0.3"/>
    <row r="68" spans="1:12" s="86" customFormat="1" ht="13.95" customHeight="1" x14ac:dyDescent="0.3">
      <c r="A68" s="147"/>
      <c r="B68" s="68" t="s">
        <v>283</v>
      </c>
      <c r="D68" s="68" t="s">
        <v>284</v>
      </c>
      <c r="H68" s="68" t="s">
        <v>285</v>
      </c>
    </row>
    <row r="69" spans="1:12" s="86" customFormat="1" ht="18" customHeight="1" x14ac:dyDescent="0.3">
      <c r="I69" s="66"/>
      <c r="J69" s="66"/>
      <c r="K69" s="66"/>
      <c r="L69" s="66"/>
    </row>
    <row r="70" spans="1:12" s="86" customFormat="1" ht="18" customHeight="1" x14ac:dyDescent="0.3">
      <c r="A70" s="147"/>
      <c r="I70" s="66"/>
      <c r="J70" s="66"/>
      <c r="K70" s="66"/>
      <c r="L70" s="66"/>
    </row>
    <row r="71" spans="1:12" s="86" customFormat="1" ht="18" customHeight="1" x14ac:dyDescent="0.3">
      <c r="I71" s="66"/>
      <c r="J71" s="66"/>
      <c r="K71" s="66"/>
      <c r="L71" s="66"/>
    </row>
    <row r="72" spans="1:12" ht="18" customHeight="1" x14ac:dyDescent="0.3"/>
    <row r="73" spans="1:12" ht="18" customHeight="1" x14ac:dyDescent="0.3"/>
    <row r="74" spans="1:12" ht="18" customHeight="1" x14ac:dyDescent="0.3"/>
    <row r="75" spans="1:12" ht="18" customHeight="1" x14ac:dyDescent="0.3"/>
    <row r="76" spans="1:12" ht="18" customHeight="1" x14ac:dyDescent="0.3"/>
  </sheetData>
  <mergeCells count="4">
    <mergeCell ref="A2:J2"/>
    <mergeCell ref="A3:J3"/>
    <mergeCell ref="B4:E4"/>
    <mergeCell ref="H47:I47"/>
  </mergeCells>
  <printOptions horizontalCentered="1"/>
  <pageMargins left="0.5" right="0.5" top="0.5" bottom="0.5" header="0" footer="0"/>
  <pageSetup scale="70" orientation="portrait" horizontalDpi="4294967292" verticalDpi="4294967292" r:id="rId1"/>
  <headerFooter>
    <oddFooter>&amp;L&amp;K000000_x000D_14.333 Geotechnical Laboratory&amp;C&amp;K000000_x000D_Revised 01/12&amp;R&amp;K000000_x000D___ of __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4">
    <pageSetUpPr fitToPage="1"/>
  </sheetPr>
  <dimension ref="A2:P76"/>
  <sheetViews>
    <sheetView view="pageBreakPreview" topLeftCell="A43" zoomScale="130" zoomScaleNormal="175" zoomScaleSheetLayoutView="130" zoomScalePageLayoutView="175" workbookViewId="0">
      <selection activeCell="I59" sqref="I59"/>
    </sheetView>
  </sheetViews>
  <sheetFormatPr defaultColWidth="6.6640625" defaultRowHeight="16.2" customHeight="1" x14ac:dyDescent="0.3"/>
  <cols>
    <col min="1" max="1" width="12.6640625" style="66" customWidth="1"/>
    <col min="2" max="2" width="18.88671875" style="66" customWidth="1"/>
    <col min="3" max="7" width="12.6640625" style="66" customWidth="1"/>
    <col min="8" max="8" width="12.88671875" style="66" customWidth="1"/>
    <col min="9" max="9" width="10.44140625" style="66" customWidth="1"/>
    <col min="10" max="10" width="8" style="66" customWidth="1"/>
    <col min="11" max="13" width="6.6640625" style="66"/>
    <col min="14" max="14" width="8.44140625" style="66" bestFit="1" customWidth="1"/>
    <col min="15" max="16384" width="6.6640625" style="66"/>
  </cols>
  <sheetData>
    <row r="2" spans="1:10" ht="18" customHeight="1" x14ac:dyDescent="0.3">
      <c r="A2" s="182" t="s">
        <v>212</v>
      </c>
      <c r="B2" s="182"/>
      <c r="C2" s="182"/>
      <c r="D2" s="182"/>
      <c r="E2" s="182"/>
      <c r="F2" s="182"/>
      <c r="G2" s="182"/>
      <c r="H2" s="182"/>
      <c r="I2" s="182"/>
      <c r="J2" s="182"/>
    </row>
    <row r="3" spans="1:10" s="67" customFormat="1" ht="18" customHeight="1" x14ac:dyDescent="0.3">
      <c r="A3" s="183" t="s">
        <v>213</v>
      </c>
      <c r="B3" s="183"/>
      <c r="C3" s="183"/>
      <c r="D3" s="183"/>
      <c r="E3" s="183"/>
      <c r="F3" s="183"/>
      <c r="G3" s="183"/>
      <c r="H3" s="183"/>
      <c r="I3" s="183"/>
      <c r="J3" s="183"/>
    </row>
    <row r="4" spans="1:10" ht="40.950000000000003" customHeight="1" x14ac:dyDescent="0.3">
      <c r="A4" s="68" t="s">
        <v>214</v>
      </c>
      <c r="B4" s="185" t="s">
        <v>286</v>
      </c>
      <c r="C4" s="185"/>
      <c r="D4" s="185"/>
      <c r="E4" s="185"/>
      <c r="G4" s="68" t="s">
        <v>215</v>
      </c>
      <c r="H4" s="71"/>
      <c r="I4" s="68"/>
    </row>
    <row r="5" spans="1:10" ht="13.95" customHeight="1" x14ac:dyDescent="0.3">
      <c r="A5" s="68" t="s">
        <v>216</v>
      </c>
      <c r="B5" s="72" t="s">
        <v>287</v>
      </c>
      <c r="C5" s="72"/>
      <c r="D5" s="73"/>
      <c r="G5" s="68" t="s">
        <v>217</v>
      </c>
      <c r="H5" s="72" t="s">
        <v>289</v>
      </c>
      <c r="I5" s="68"/>
    </row>
    <row r="6" spans="1:10" ht="13.95" customHeight="1" x14ac:dyDescent="0.3">
      <c r="A6" s="68" t="s">
        <v>218</v>
      </c>
      <c r="B6" s="72" t="s">
        <v>299</v>
      </c>
      <c r="C6" s="72"/>
      <c r="D6" s="73"/>
      <c r="G6" s="68" t="s">
        <v>219</v>
      </c>
      <c r="H6" s="72"/>
    </row>
    <row r="7" spans="1:10" ht="13.95" customHeight="1" x14ac:dyDescent="0.3">
      <c r="A7" s="74"/>
      <c r="B7" s="75"/>
      <c r="C7" s="76"/>
      <c r="D7" s="76"/>
      <c r="E7" s="74"/>
      <c r="F7" s="75"/>
      <c r="G7" s="77"/>
      <c r="H7" s="77"/>
      <c r="I7" s="74"/>
      <c r="J7" s="74"/>
    </row>
    <row r="8" spans="1:10" ht="13.95" customHeight="1" x14ac:dyDescent="0.3">
      <c r="A8" s="78" t="s">
        <v>220</v>
      </c>
      <c r="B8" s="68"/>
      <c r="D8" s="78" t="s">
        <v>221</v>
      </c>
      <c r="F8" s="68"/>
      <c r="G8" s="79"/>
      <c r="H8" s="78" t="s">
        <v>222</v>
      </c>
    </row>
    <row r="9" spans="1:10" ht="13.95" customHeight="1" x14ac:dyDescent="0.3">
      <c r="A9" s="80" t="s">
        <v>223</v>
      </c>
      <c r="B9" s="70"/>
      <c r="D9" s="81"/>
      <c r="E9" s="82" t="s">
        <v>224</v>
      </c>
      <c r="F9" s="69"/>
      <c r="H9" s="82"/>
      <c r="I9" s="82" t="s">
        <v>224</v>
      </c>
      <c r="J9" s="69"/>
    </row>
    <row r="10" spans="1:10" ht="13.95" customHeight="1" x14ac:dyDescent="0.3">
      <c r="A10" s="80" t="s">
        <v>225</v>
      </c>
      <c r="B10" s="70"/>
      <c r="D10" s="82"/>
      <c r="E10" s="82" t="s">
        <v>226</v>
      </c>
      <c r="F10" s="83"/>
      <c r="H10" s="79"/>
      <c r="I10" s="82" t="s">
        <v>227</v>
      </c>
      <c r="J10" s="69"/>
    </row>
    <row r="11" spans="1:10" ht="13.95" customHeight="1" x14ac:dyDescent="0.3">
      <c r="A11" s="80" t="s">
        <v>228</v>
      </c>
      <c r="B11" s="70"/>
      <c r="C11" s="81"/>
      <c r="D11" s="81"/>
      <c r="E11" s="82" t="s">
        <v>229</v>
      </c>
      <c r="F11" s="83"/>
      <c r="H11" s="79"/>
      <c r="I11" s="82" t="s">
        <v>230</v>
      </c>
      <c r="J11" s="69"/>
    </row>
    <row r="12" spans="1:10" ht="13.95" customHeight="1" x14ac:dyDescent="0.3">
      <c r="B12" s="68"/>
      <c r="C12" s="81"/>
      <c r="D12" s="81"/>
      <c r="E12" s="82" t="s">
        <v>231</v>
      </c>
      <c r="F12" s="83"/>
      <c r="H12" s="79"/>
      <c r="I12" s="82" t="s">
        <v>232</v>
      </c>
      <c r="J12" s="69"/>
    </row>
    <row r="13" spans="1:10" ht="13.95" customHeight="1" x14ac:dyDescent="0.3">
      <c r="A13" s="78" t="s">
        <v>233</v>
      </c>
      <c r="E13" s="82" t="s">
        <v>234</v>
      </c>
      <c r="F13" s="83"/>
      <c r="I13" s="82" t="s">
        <v>235</v>
      </c>
      <c r="J13" s="69"/>
    </row>
    <row r="14" spans="1:10" ht="13.5" customHeight="1" x14ac:dyDescent="0.3">
      <c r="A14" s="78"/>
      <c r="E14" s="82" t="s">
        <v>236</v>
      </c>
      <c r="F14" s="83">
        <f>'Gravemetric Moisture Content'!G94</f>
        <v>95.340872521668132</v>
      </c>
    </row>
    <row r="15" spans="1:10" ht="13.95" customHeight="1" x14ac:dyDescent="0.3">
      <c r="A15" s="74"/>
      <c r="B15" s="75"/>
      <c r="C15" s="74"/>
      <c r="D15" s="74"/>
      <c r="E15" s="74"/>
      <c r="F15" s="74"/>
      <c r="G15" s="74"/>
      <c r="H15" s="74"/>
      <c r="I15" s="74"/>
      <c r="J15" s="74"/>
    </row>
    <row r="16" spans="1:10" ht="13.95" customHeight="1" x14ac:dyDescent="0.3">
      <c r="A16" s="84" t="s">
        <v>237</v>
      </c>
      <c r="B16" s="85"/>
      <c r="C16" s="85"/>
      <c r="D16" s="85"/>
      <c r="E16" s="85"/>
      <c r="F16" s="85"/>
      <c r="G16" s="85"/>
      <c r="H16" s="85"/>
      <c r="I16" s="85"/>
      <c r="J16" s="85"/>
    </row>
    <row r="17" spans="1:15" ht="13.95" customHeight="1" x14ac:dyDescent="0.3">
      <c r="A17" s="78" t="s">
        <v>238</v>
      </c>
      <c r="B17" s="82"/>
      <c r="C17" s="86"/>
      <c r="D17" s="87" t="s">
        <v>239</v>
      </c>
      <c r="E17" s="86"/>
      <c r="G17" s="88" t="s">
        <v>240</v>
      </c>
      <c r="H17" s="86" t="s">
        <v>241</v>
      </c>
      <c r="I17" s="86"/>
      <c r="J17" s="86"/>
    </row>
    <row r="18" spans="1:15" ht="13.95" customHeight="1" x14ac:dyDescent="0.3">
      <c r="A18" s="78" t="s">
        <v>242</v>
      </c>
      <c r="B18" s="88" t="s">
        <v>243</v>
      </c>
      <c r="C18" s="86"/>
      <c r="E18" s="87" t="s">
        <v>244</v>
      </c>
      <c r="F18" s="86"/>
      <c r="G18" s="89">
        <v>5</v>
      </c>
      <c r="H18" s="86"/>
      <c r="I18" s="86"/>
      <c r="J18" s="86"/>
    </row>
    <row r="19" spans="1:15" s="86" customFormat="1" ht="10.95" customHeight="1" x14ac:dyDescent="0.3">
      <c r="A19" s="78"/>
      <c r="B19" s="90" t="s">
        <v>245</v>
      </c>
      <c r="D19" s="87" t="s">
        <v>246</v>
      </c>
      <c r="F19" s="91"/>
      <c r="G19" s="88" t="s">
        <v>247</v>
      </c>
      <c r="H19" s="91"/>
    </row>
    <row r="20" spans="1:15" s="86" customFormat="1" ht="10.95" customHeight="1" x14ac:dyDescent="0.3">
      <c r="A20" s="92"/>
      <c r="B20" s="74"/>
      <c r="C20" s="74"/>
      <c r="D20" s="93"/>
      <c r="E20" s="74"/>
      <c r="F20" s="74"/>
      <c r="G20" s="74"/>
      <c r="H20" s="74"/>
      <c r="I20" s="74"/>
      <c r="J20" s="74"/>
    </row>
    <row r="21" spans="1:15" s="86" customFormat="1" ht="13.95" customHeight="1" x14ac:dyDescent="0.3">
      <c r="A21" s="78" t="s">
        <v>248</v>
      </c>
      <c r="H21" s="87" t="s">
        <v>249</v>
      </c>
    </row>
    <row r="22" spans="1:15" s="86" customFormat="1" ht="13.95" customHeight="1" x14ac:dyDescent="0.3">
      <c r="A22" s="78" t="s">
        <v>250</v>
      </c>
      <c r="B22" s="88" t="s">
        <v>251</v>
      </c>
      <c r="I22" s="82" t="s">
        <v>252</v>
      </c>
    </row>
    <row r="23" spans="1:15" s="86" customFormat="1" ht="13.95" customHeight="1" x14ac:dyDescent="0.3">
      <c r="A23" s="78"/>
      <c r="I23" s="82" t="s">
        <v>253</v>
      </c>
    </row>
    <row r="24" spans="1:15" s="86" customFormat="1" ht="13.95" customHeight="1" x14ac:dyDescent="0.3">
      <c r="A24" s="78" t="s">
        <v>254</v>
      </c>
      <c r="I24" s="82" t="s">
        <v>255</v>
      </c>
    </row>
    <row r="25" spans="1:15" s="86" customFormat="1" ht="13.95" customHeight="1" x14ac:dyDescent="0.3">
      <c r="A25" s="78" t="s">
        <v>256</v>
      </c>
      <c r="B25" s="94">
        <v>43844</v>
      </c>
      <c r="C25" s="82"/>
      <c r="D25" s="87"/>
      <c r="E25" s="82"/>
      <c r="F25" s="95"/>
      <c r="I25" s="82" t="s">
        <v>257</v>
      </c>
    </row>
    <row r="26" spans="1:15" s="86" customFormat="1" ht="13.95" customHeight="1" x14ac:dyDescent="0.3">
      <c r="A26" s="78" t="s">
        <v>258</v>
      </c>
      <c r="B26" s="149">
        <v>43844.452777777777</v>
      </c>
      <c r="F26" s="82"/>
      <c r="I26" s="82" t="s">
        <v>259</v>
      </c>
    </row>
    <row r="27" spans="1:15" s="86" customFormat="1" ht="13.95" customHeight="1" x14ac:dyDescent="0.3">
      <c r="A27" s="78"/>
      <c r="F27" s="82"/>
      <c r="H27" s="82" t="s">
        <v>260</v>
      </c>
      <c r="N27" s="86">
        <f>4+(0.01248*29)+(0.00795*29^2)</f>
        <v>11.04787</v>
      </c>
      <c r="O27" s="87" t="s">
        <v>6</v>
      </c>
    </row>
    <row r="28" spans="1:15" s="86" customFormat="1" ht="13.95" customHeight="1" x14ac:dyDescent="0.3">
      <c r="A28" s="78"/>
      <c r="B28" s="87"/>
      <c r="G28" s="87" t="s">
        <v>261</v>
      </c>
      <c r="I28" s="88" t="s">
        <v>262</v>
      </c>
      <c r="J28" s="86">
        <f>'Specific Gravity Tests'!B293</f>
        <v>2.6700606675796226</v>
      </c>
      <c r="O28" s="87" t="s">
        <v>263</v>
      </c>
    </row>
    <row r="29" spans="1:15" s="86" customFormat="1" ht="10.95" customHeight="1" thickBot="1" x14ac:dyDescent="0.35"/>
    <row r="30" spans="1:15" s="97" customFormat="1" ht="54" customHeight="1" x14ac:dyDescent="0.3">
      <c r="B30" s="98" t="s">
        <v>264</v>
      </c>
      <c r="C30" s="99" t="s">
        <v>265</v>
      </c>
      <c r="D30" s="100" t="s">
        <v>266</v>
      </c>
      <c r="E30" s="101" t="s">
        <v>267</v>
      </c>
      <c r="F30" s="101" t="s">
        <v>268</v>
      </c>
      <c r="G30" s="101" t="s">
        <v>269</v>
      </c>
      <c r="H30" s="102" t="s">
        <v>270</v>
      </c>
      <c r="J30" s="103"/>
      <c r="K30" s="104"/>
      <c r="L30" s="104"/>
    </row>
    <row r="31" spans="1:15" s="87" customFormat="1" ht="13.95" customHeight="1" x14ac:dyDescent="0.3">
      <c r="B31" s="105">
        <v>0.1</v>
      </c>
      <c r="C31" s="106">
        <v>53</v>
      </c>
      <c r="D31" s="107">
        <v>26</v>
      </c>
      <c r="E31" s="108">
        <f t="shared" ref="E31:E39" si="0">$N$27+(((0.01248*D31)-((0.00795)*D31^2)))</f>
        <v>5.9981499999999999</v>
      </c>
      <c r="F31" s="109">
        <f t="shared" ref="F31:F39" si="1">7.8+(((18.8-7.8)/(60+5))*(60-C31+$N$31))-($N$32/$N$33)</f>
        <v>7.2887491644880047</v>
      </c>
      <c r="G31" s="110">
        <f>(SQRT(((18*0.01)/(0.99679*980.7*($J$28-1))*(F31/(B31*60)))*10))</f>
        <v>3.6597471554206354E-2</v>
      </c>
      <c r="H31" s="111">
        <f t="shared" ref="H31:H39" si="2">0.6226*($J$28/($J$28-1))*((50/$F$14)*(C31-E31))*(100/1000)</f>
        <v>2.4536003908394388</v>
      </c>
      <c r="J31" s="103"/>
      <c r="K31" s="112"/>
      <c r="L31" s="112"/>
      <c r="N31" s="87">
        <v>1</v>
      </c>
      <c r="O31" s="90" t="s">
        <v>271</v>
      </c>
    </row>
    <row r="32" spans="1:15" s="87" customFormat="1" ht="13.95" customHeight="1" x14ac:dyDescent="0.3">
      <c r="B32" s="113">
        <v>1</v>
      </c>
      <c r="C32" s="114">
        <v>53</v>
      </c>
      <c r="D32" s="107">
        <v>26</v>
      </c>
      <c r="E32" s="108">
        <f t="shared" si="0"/>
        <v>5.9981499999999999</v>
      </c>
      <c r="F32" s="109">
        <f t="shared" si="1"/>
        <v>7.2887491644880047</v>
      </c>
      <c r="G32" s="110">
        <f t="shared" ref="G32:G39" si="3">(SQRT(((18*0.01)/(0.99679*980.7*($J$28-1))*(F32/(B32*60)))*10))</f>
        <v>1.1573136671451448E-2</v>
      </c>
      <c r="H32" s="111">
        <f t="shared" si="2"/>
        <v>2.4536003908394388</v>
      </c>
      <c r="J32" s="103"/>
      <c r="K32" s="112"/>
      <c r="L32" s="112"/>
      <c r="N32" s="87">
        <v>60</v>
      </c>
      <c r="O32" s="90" t="s">
        <v>272</v>
      </c>
    </row>
    <row r="33" spans="1:16" s="87" customFormat="1" ht="13.95" customHeight="1" x14ac:dyDescent="0.3">
      <c r="B33" s="113">
        <v>2</v>
      </c>
      <c r="C33" s="114">
        <v>50</v>
      </c>
      <c r="D33" s="107">
        <v>26</v>
      </c>
      <c r="E33" s="108">
        <f t="shared" si="0"/>
        <v>5.9981499999999999</v>
      </c>
      <c r="F33" s="109">
        <f t="shared" si="1"/>
        <v>7.7964414721803124</v>
      </c>
      <c r="G33" s="110">
        <f t="shared" si="3"/>
        <v>8.4636519038918858E-3</v>
      </c>
      <c r="H33" s="111">
        <f t="shared" si="2"/>
        <v>2.2969937642381812</v>
      </c>
      <c r="J33" s="103"/>
      <c r="K33" s="112"/>
      <c r="L33" s="112"/>
      <c r="N33" s="87">
        <f>(PI()*6.4^2)/4</f>
        <v>32.169908772759484</v>
      </c>
      <c r="O33" s="90" t="s">
        <v>273</v>
      </c>
    </row>
    <row r="34" spans="1:16" s="87" customFormat="1" ht="13.95" customHeight="1" x14ac:dyDescent="0.3">
      <c r="B34" s="113">
        <v>4</v>
      </c>
      <c r="C34" s="114">
        <v>48</v>
      </c>
      <c r="D34" s="107">
        <v>26</v>
      </c>
      <c r="E34" s="108">
        <f t="shared" si="0"/>
        <v>5.9981499999999999</v>
      </c>
      <c r="F34" s="109">
        <f t="shared" si="1"/>
        <v>8.1349030106418514</v>
      </c>
      <c r="G34" s="110">
        <f t="shared" si="3"/>
        <v>6.11323053351185E-3</v>
      </c>
      <c r="H34" s="111">
        <f t="shared" si="2"/>
        <v>2.1925893465040094</v>
      </c>
      <c r="J34" s="103"/>
      <c r="K34" s="112"/>
      <c r="L34" s="112"/>
      <c r="O34" s="90"/>
    </row>
    <row r="35" spans="1:16" s="87" customFormat="1" ht="13.95" customHeight="1" x14ac:dyDescent="0.3">
      <c r="B35" s="113">
        <v>15</v>
      </c>
      <c r="C35" s="114">
        <v>45</v>
      </c>
      <c r="D35" s="107">
        <v>26</v>
      </c>
      <c r="E35" s="108">
        <f t="shared" si="0"/>
        <v>5.9981499999999999</v>
      </c>
      <c r="F35" s="109">
        <f t="shared" si="1"/>
        <v>8.6425953183341591</v>
      </c>
      <c r="G35" s="110">
        <f t="shared" si="3"/>
        <v>3.2538763027898229E-3</v>
      </c>
      <c r="H35" s="111">
        <f t="shared" si="2"/>
        <v>2.0359827199027523</v>
      </c>
      <c r="J35" s="103"/>
      <c r="K35" s="112"/>
      <c r="L35" s="112"/>
      <c r="O35" s="90" t="s">
        <v>274</v>
      </c>
      <c r="P35" s="90"/>
    </row>
    <row r="36" spans="1:16" s="87" customFormat="1" ht="13.95" customHeight="1" x14ac:dyDescent="0.3">
      <c r="B36" s="113">
        <v>30</v>
      </c>
      <c r="C36" s="106">
        <v>43</v>
      </c>
      <c r="D36" s="107">
        <v>26</v>
      </c>
      <c r="E36" s="108">
        <f t="shared" si="0"/>
        <v>5.9981499999999999</v>
      </c>
      <c r="F36" s="109">
        <f t="shared" si="1"/>
        <v>8.9810568567956981</v>
      </c>
      <c r="G36" s="110">
        <f t="shared" si="3"/>
        <v>2.3454580791450125E-3</v>
      </c>
      <c r="H36" s="111">
        <f t="shared" si="2"/>
        <v>1.9315783021685804</v>
      </c>
      <c r="J36" s="103"/>
      <c r="K36" s="112"/>
      <c r="L36" s="112"/>
      <c r="P36" s="90"/>
    </row>
    <row r="37" spans="1:16" s="87" customFormat="1" ht="13.95" customHeight="1" x14ac:dyDescent="0.3">
      <c r="B37" s="113">
        <v>60</v>
      </c>
      <c r="C37" s="106">
        <v>40</v>
      </c>
      <c r="D37" s="107">
        <v>26</v>
      </c>
      <c r="E37" s="108">
        <f t="shared" si="0"/>
        <v>5.9981499999999999</v>
      </c>
      <c r="F37" s="109">
        <f t="shared" si="1"/>
        <v>9.4887491644880058</v>
      </c>
      <c r="G37" s="110">
        <f t="shared" si="3"/>
        <v>1.7047214959009657E-3</v>
      </c>
      <c r="H37" s="111">
        <f t="shared" si="2"/>
        <v>1.7749716755673228</v>
      </c>
      <c r="J37" s="103"/>
      <c r="K37" s="112"/>
      <c r="L37" s="112"/>
      <c r="N37" s="95">
        <v>1000</v>
      </c>
      <c r="O37" s="90" t="s">
        <v>275</v>
      </c>
      <c r="P37" s="90"/>
    </row>
    <row r="38" spans="1:16" s="87" customFormat="1" ht="13.95" customHeight="1" x14ac:dyDescent="0.3">
      <c r="B38" s="113">
        <v>240</v>
      </c>
      <c r="C38" s="151">
        <v>33</v>
      </c>
      <c r="D38" s="107">
        <v>26</v>
      </c>
      <c r="E38" s="108">
        <f t="shared" si="0"/>
        <v>5.9981499999999999</v>
      </c>
      <c r="F38" s="109">
        <f t="shared" si="1"/>
        <v>10.67336454910339</v>
      </c>
      <c r="G38" s="110">
        <f t="shared" si="3"/>
        <v>9.0400249733592732E-4</v>
      </c>
      <c r="H38" s="111">
        <f t="shared" si="2"/>
        <v>1.409556213497722</v>
      </c>
      <c r="J38" s="103"/>
      <c r="K38" s="112"/>
      <c r="L38" s="112"/>
      <c r="O38" s="90" t="s">
        <v>276</v>
      </c>
    </row>
    <row r="39" spans="1:16" s="86" customFormat="1" ht="13.95" customHeight="1" x14ac:dyDescent="0.3">
      <c r="B39" s="113">
        <v>1440</v>
      </c>
      <c r="C39" s="151">
        <v>27</v>
      </c>
      <c r="D39" s="107">
        <v>27</v>
      </c>
      <c r="E39" s="108">
        <f t="shared" si="0"/>
        <v>5.5892799999999996</v>
      </c>
      <c r="F39" s="109">
        <f t="shared" si="1"/>
        <v>11.688749164488005</v>
      </c>
      <c r="G39" s="110">
        <f t="shared" si="3"/>
        <v>3.8621341341852982E-4</v>
      </c>
      <c r="H39" s="111">
        <f t="shared" si="2"/>
        <v>1.1176868774346924</v>
      </c>
      <c r="J39" s="103"/>
      <c r="N39" s="86">
        <v>0.99678999999999995</v>
      </c>
      <c r="O39" s="90" t="s">
        <v>277</v>
      </c>
    </row>
    <row r="40" spans="1:16" s="86" customFormat="1" ht="13.95" customHeight="1" x14ac:dyDescent="0.3">
      <c r="B40" s="113"/>
      <c r="C40" s="106"/>
      <c r="D40" s="111"/>
      <c r="E40" s="108"/>
      <c r="F40" s="109"/>
      <c r="G40" s="110"/>
      <c r="H40" s="111"/>
      <c r="J40" s="103"/>
      <c r="O40" s="90" t="s">
        <v>278</v>
      </c>
    </row>
    <row r="41" spans="1:16" s="86" customFormat="1" ht="13.95" customHeight="1" thickBot="1" x14ac:dyDescent="0.35">
      <c r="B41" s="115"/>
      <c r="C41" s="116"/>
      <c r="D41" s="111"/>
      <c r="E41" s="108"/>
      <c r="F41" s="117"/>
      <c r="G41" s="118"/>
      <c r="H41" s="111"/>
      <c r="J41" s="119"/>
    </row>
    <row r="42" spans="1:16" s="86" customFormat="1" ht="13.95" customHeight="1" x14ac:dyDescent="0.3">
      <c r="A42" s="120"/>
      <c r="B42" s="77"/>
      <c r="C42" s="121"/>
      <c r="D42" s="121"/>
      <c r="E42" s="77"/>
      <c r="F42" s="122"/>
      <c r="G42" s="123"/>
      <c r="H42" s="77"/>
      <c r="I42" s="124"/>
      <c r="J42" s="125"/>
    </row>
    <row r="43" spans="1:16" s="86" customFormat="1" ht="13.95" customHeight="1" thickBot="1" x14ac:dyDescent="0.35">
      <c r="A43" s="126"/>
      <c r="B43" s="127"/>
      <c r="C43" s="128"/>
      <c r="D43" s="128"/>
      <c r="E43" s="127"/>
      <c r="F43" s="129"/>
      <c r="G43" s="130"/>
      <c r="H43" s="127"/>
      <c r="I43" s="131"/>
      <c r="J43" s="132"/>
    </row>
    <row r="44" spans="1:16" s="86" customFormat="1" ht="13.95" customHeight="1" x14ac:dyDescent="0.3">
      <c r="A44" s="133"/>
      <c r="C44" s="97"/>
      <c r="D44" s="97"/>
      <c r="E44" s="97"/>
      <c r="F44" s="97"/>
      <c r="G44" s="97"/>
      <c r="H44" s="134"/>
      <c r="I44" s="134"/>
      <c r="J44" s="103"/>
    </row>
    <row r="45" spans="1:16" s="86" customFormat="1" ht="13.95" customHeight="1" x14ac:dyDescent="0.3">
      <c r="A45" s="133"/>
      <c r="C45" s="97"/>
      <c r="D45" s="97"/>
      <c r="E45" s="97"/>
      <c r="F45" s="97"/>
      <c r="G45" s="97"/>
      <c r="H45" s="134"/>
      <c r="I45" s="134"/>
      <c r="J45" s="103"/>
    </row>
    <row r="46" spans="1:16" s="86" customFormat="1" ht="13.95" customHeight="1" x14ac:dyDescent="0.3">
      <c r="A46" s="97" t="s">
        <v>279</v>
      </c>
      <c r="B46" s="97" t="s">
        <v>280</v>
      </c>
      <c r="C46" s="135">
        <f t="shared" ref="C46:C50" si="4">J53</f>
        <v>100</v>
      </c>
      <c r="D46" s="135" t="e">
        <f>#REF!</f>
        <v>#REF!</v>
      </c>
      <c r="F46" s="97"/>
      <c r="G46" s="97">
        <v>9</v>
      </c>
      <c r="H46" s="134"/>
    </row>
    <row r="47" spans="1:16" s="86" customFormat="1" ht="13.95" customHeight="1" x14ac:dyDescent="0.3">
      <c r="A47" s="97"/>
      <c r="B47" s="97"/>
      <c r="C47" s="135">
        <f t="shared" si="4"/>
        <v>99.307500000000005</v>
      </c>
      <c r="D47" s="135" t="e">
        <f>#REF!</f>
        <v>#REF!</v>
      </c>
      <c r="F47" s="97"/>
      <c r="G47" s="97"/>
      <c r="H47" s="184" t="s">
        <v>281</v>
      </c>
      <c r="I47" s="184"/>
      <c r="J47" s="136"/>
    </row>
    <row r="48" spans="1:16" s="86" customFormat="1" ht="13.95" customHeight="1" thickBot="1" x14ac:dyDescent="0.35">
      <c r="A48" s="97">
        <v>4</v>
      </c>
      <c r="B48" s="97">
        <v>4.75</v>
      </c>
      <c r="C48" s="135">
        <f t="shared" si="4"/>
        <v>2</v>
      </c>
      <c r="D48" s="135" t="e">
        <f>#REF!</f>
        <v>#REF!</v>
      </c>
      <c r="F48" s="97"/>
      <c r="G48" s="97"/>
      <c r="H48" s="134"/>
      <c r="I48" s="136"/>
      <c r="J48" s="136"/>
    </row>
    <row r="49" spans="1:10" s="86" customFormat="1" ht="13.95" customHeight="1" thickBot="1" x14ac:dyDescent="0.35">
      <c r="A49" s="97">
        <v>10</v>
      </c>
      <c r="B49" s="97">
        <v>2</v>
      </c>
      <c r="C49" s="135">
        <f t="shared" si="4"/>
        <v>0</v>
      </c>
      <c r="D49" s="135" t="e">
        <f>#REF!</f>
        <v>#REF!</v>
      </c>
      <c r="F49" s="97"/>
      <c r="G49" s="97"/>
      <c r="H49" s="137" t="s">
        <v>279</v>
      </c>
      <c r="I49" s="137" t="s">
        <v>269</v>
      </c>
      <c r="J49" s="137" t="s">
        <v>282</v>
      </c>
    </row>
    <row r="50" spans="1:10" s="86" customFormat="1" ht="13.95" customHeight="1" x14ac:dyDescent="0.3">
      <c r="A50" s="97">
        <v>40</v>
      </c>
      <c r="B50" s="97">
        <v>0.42499999999999999</v>
      </c>
      <c r="C50" s="135">
        <f t="shared" si="4"/>
        <v>0</v>
      </c>
      <c r="D50" s="135" t="e">
        <f>#REF!</f>
        <v>#REF!</v>
      </c>
      <c r="F50" s="97"/>
      <c r="G50" s="97"/>
      <c r="H50" s="138">
        <v>4</v>
      </c>
      <c r="I50" s="138">
        <v>4.75</v>
      </c>
      <c r="J50" s="138">
        <v>100</v>
      </c>
    </row>
    <row r="51" spans="1:10" s="86" customFormat="1" ht="13.95" customHeight="1" x14ac:dyDescent="0.3">
      <c r="A51" s="97">
        <v>200</v>
      </c>
      <c r="B51" s="97">
        <v>7.4999999999999997E-2</v>
      </c>
      <c r="C51" s="135">
        <f t="shared" ref="C51:C59" si="5">G31</f>
        <v>3.6597471554206354E-2</v>
      </c>
      <c r="D51" s="139" t="e">
        <f>#REF!</f>
        <v>#REF!</v>
      </c>
      <c r="F51" s="97"/>
      <c r="G51" s="97"/>
      <c r="H51" s="140">
        <v>10</v>
      </c>
      <c r="I51" s="140">
        <v>2</v>
      </c>
      <c r="J51" s="140">
        <v>100</v>
      </c>
    </row>
    <row r="52" spans="1:10" s="86" customFormat="1" ht="13.95" customHeight="1" x14ac:dyDescent="0.3">
      <c r="A52" s="133"/>
      <c r="B52" s="141"/>
      <c r="C52" s="135">
        <f t="shared" si="5"/>
        <v>1.1573136671451448E-2</v>
      </c>
      <c r="D52" s="139" t="e">
        <f>#REF!</f>
        <v>#REF!</v>
      </c>
      <c r="E52" s="97"/>
      <c r="F52" s="97"/>
      <c r="G52" s="97"/>
      <c r="H52" s="140">
        <v>40</v>
      </c>
      <c r="I52" s="140">
        <v>0.42499999999999999</v>
      </c>
      <c r="J52" s="140">
        <v>100</v>
      </c>
    </row>
    <row r="53" spans="1:10" s="86" customFormat="1" ht="13.95" customHeight="1" x14ac:dyDescent="0.3">
      <c r="A53" s="142"/>
      <c r="B53" s="143"/>
      <c r="C53" s="135">
        <f t="shared" si="5"/>
        <v>8.4636519038918858E-3</v>
      </c>
      <c r="D53" s="139" t="e">
        <f>#REF!</f>
        <v>#REF!</v>
      </c>
      <c r="E53" s="97"/>
      <c r="F53" s="97"/>
      <c r="G53" s="97"/>
      <c r="H53" s="140">
        <v>100</v>
      </c>
      <c r="I53" s="140">
        <v>0.15</v>
      </c>
      <c r="J53" s="140">
        <v>100</v>
      </c>
    </row>
    <row r="54" spans="1:10" s="86" customFormat="1" ht="13.95" customHeight="1" thickBot="1" x14ac:dyDescent="0.35">
      <c r="A54" s="133"/>
      <c r="B54" s="141"/>
      <c r="C54" s="135">
        <f t="shared" si="5"/>
        <v>6.11323053351185E-3</v>
      </c>
      <c r="D54" s="139" t="e">
        <f>#REF!</f>
        <v>#REF!</v>
      </c>
      <c r="E54" s="97"/>
      <c r="F54" s="97"/>
      <c r="G54" s="97"/>
      <c r="H54" s="144">
        <v>200</v>
      </c>
      <c r="I54" s="144">
        <v>7.4999999999999997E-2</v>
      </c>
      <c r="J54" s="144">
        <f>'Sieve Analysis'!D109</f>
        <v>99.307500000000005</v>
      </c>
    </row>
    <row r="55" spans="1:10" s="86" customFormat="1" ht="13.95" customHeight="1" x14ac:dyDescent="0.3">
      <c r="A55" s="133"/>
      <c r="B55" s="141"/>
      <c r="C55" s="135">
        <f t="shared" si="5"/>
        <v>3.2538763027898229E-3</v>
      </c>
      <c r="D55" s="139" t="e">
        <f>#REF!</f>
        <v>#REF!</v>
      </c>
      <c r="E55" s="97"/>
      <c r="F55" s="97"/>
      <c r="G55" s="97"/>
      <c r="H55" s="134" t="s">
        <v>300</v>
      </c>
      <c r="I55" s="86">
        <v>3.6999999999999998E-2</v>
      </c>
      <c r="J55" s="86">
        <v>2</v>
      </c>
    </row>
    <row r="56" spans="1:10" s="86" customFormat="1" ht="13.95" customHeight="1" x14ac:dyDescent="0.3">
      <c r="A56" s="133"/>
      <c r="B56" s="96"/>
      <c r="C56" s="135">
        <f t="shared" si="5"/>
        <v>2.3454580791450125E-3</v>
      </c>
      <c r="D56" s="139" t="e">
        <f>#REF!</f>
        <v>#REF!</v>
      </c>
      <c r="E56" s="97"/>
      <c r="F56" s="97"/>
      <c r="G56" s="97"/>
      <c r="H56" s="134"/>
      <c r="I56" s="134"/>
      <c r="J56" s="134"/>
    </row>
    <row r="57" spans="1:10" s="86" customFormat="1" ht="13.95" customHeight="1" x14ac:dyDescent="0.3">
      <c r="A57" s="133"/>
      <c r="B57" s="141"/>
      <c r="C57" s="135">
        <f t="shared" si="5"/>
        <v>1.7047214959009657E-3</v>
      </c>
      <c r="D57" s="139" t="e">
        <f>#REF!</f>
        <v>#REF!</v>
      </c>
      <c r="E57" s="97"/>
      <c r="F57" s="97"/>
      <c r="G57" s="97"/>
      <c r="H57" s="134"/>
      <c r="I57" s="134"/>
      <c r="J57" s="134"/>
    </row>
    <row r="58" spans="1:10" s="86" customFormat="1" ht="13.95" customHeight="1" x14ac:dyDescent="0.3">
      <c r="B58" s="145"/>
      <c r="C58" s="135">
        <f t="shared" si="5"/>
        <v>9.0400249733592732E-4</v>
      </c>
      <c r="D58" s="139" t="e">
        <f>#REF!</f>
        <v>#REF!</v>
      </c>
      <c r="E58" s="97"/>
      <c r="F58" s="97"/>
      <c r="G58" s="97"/>
      <c r="H58" s="134"/>
      <c r="I58" s="134"/>
      <c r="J58" s="134"/>
    </row>
    <row r="59" spans="1:10" s="86" customFormat="1" ht="13.95" customHeight="1" x14ac:dyDescent="0.3">
      <c r="C59" s="135">
        <f t="shared" si="5"/>
        <v>3.8621341341852982E-4</v>
      </c>
      <c r="D59" s="139" t="e">
        <f>#REF!</f>
        <v>#REF!</v>
      </c>
      <c r="E59" s="97"/>
      <c r="F59" s="97"/>
      <c r="G59" s="97"/>
      <c r="H59" s="134"/>
      <c r="I59" s="134"/>
      <c r="J59" s="134"/>
    </row>
    <row r="60" spans="1:10" s="86" customFormat="1" ht="13.95" customHeight="1" x14ac:dyDescent="0.3">
      <c r="B60" s="145"/>
      <c r="C60" s="135">
        <f>G41</f>
        <v>0</v>
      </c>
      <c r="D60" s="139" t="e">
        <f>#REF!</f>
        <v>#REF!</v>
      </c>
      <c r="E60" s="97"/>
      <c r="F60" s="97"/>
      <c r="G60" s="97"/>
      <c r="H60" s="134"/>
      <c r="I60" s="134"/>
      <c r="J60" s="134"/>
    </row>
    <row r="61" spans="1:10" s="86" customFormat="1" ht="13.95" customHeight="1" x14ac:dyDescent="0.3">
      <c r="B61" s="145"/>
      <c r="C61" s="135">
        <f t="shared" ref="C61:C62" si="6">G42</f>
        <v>0</v>
      </c>
      <c r="D61" s="139" t="e">
        <f>#REF!</f>
        <v>#REF!</v>
      </c>
      <c r="E61" s="97"/>
      <c r="F61" s="97"/>
      <c r="G61" s="97"/>
      <c r="H61" s="134"/>
      <c r="I61" s="134"/>
      <c r="J61" s="134"/>
    </row>
    <row r="62" spans="1:10" s="86" customFormat="1" ht="13.95" customHeight="1" x14ac:dyDescent="0.3">
      <c r="C62" s="135">
        <f t="shared" si="6"/>
        <v>0</v>
      </c>
      <c r="D62" s="139" t="e">
        <f>#REF!</f>
        <v>#REF!</v>
      </c>
      <c r="E62" s="97"/>
      <c r="F62" s="97"/>
      <c r="G62" s="97"/>
      <c r="H62" s="134"/>
      <c r="I62" s="134"/>
      <c r="J62" s="134"/>
    </row>
    <row r="63" spans="1:10" s="86" customFormat="1" ht="13.95" customHeight="1" x14ac:dyDescent="0.3"/>
    <row r="64" spans="1:10" s="86" customFormat="1" ht="13.95" customHeight="1" x14ac:dyDescent="0.3">
      <c r="A64" s="146"/>
    </row>
    <row r="65" spans="1:12" s="86" customFormat="1" ht="13.95" customHeight="1" x14ac:dyDescent="0.3"/>
    <row r="66" spans="1:12" s="86" customFormat="1" ht="13.95" customHeight="1" x14ac:dyDescent="0.3"/>
    <row r="67" spans="1:12" s="86" customFormat="1" ht="13.95" customHeight="1" x14ac:dyDescent="0.3"/>
    <row r="68" spans="1:12" s="86" customFormat="1" ht="13.95" customHeight="1" x14ac:dyDescent="0.3">
      <c r="A68" s="147"/>
      <c r="B68" s="68" t="s">
        <v>283</v>
      </c>
      <c r="D68" s="68" t="s">
        <v>284</v>
      </c>
      <c r="H68" s="68" t="s">
        <v>285</v>
      </c>
    </row>
    <row r="69" spans="1:12" s="86" customFormat="1" ht="18" customHeight="1" x14ac:dyDescent="0.3">
      <c r="I69" s="66"/>
      <c r="J69" s="66"/>
      <c r="K69" s="66"/>
      <c r="L69" s="66"/>
    </row>
    <row r="70" spans="1:12" s="86" customFormat="1" ht="18" customHeight="1" x14ac:dyDescent="0.3">
      <c r="A70" s="147"/>
      <c r="I70" s="66"/>
      <c r="J70" s="66"/>
      <c r="K70" s="66"/>
      <c r="L70" s="66"/>
    </row>
    <row r="71" spans="1:12" s="86" customFormat="1" ht="18" customHeight="1" x14ac:dyDescent="0.3">
      <c r="I71" s="66"/>
      <c r="J71" s="66"/>
      <c r="K71" s="66"/>
      <c r="L71" s="66"/>
    </row>
    <row r="72" spans="1:12" ht="18" customHeight="1" x14ac:dyDescent="0.3"/>
    <row r="73" spans="1:12" ht="18" customHeight="1" x14ac:dyDescent="0.3"/>
    <row r="74" spans="1:12" ht="18" customHeight="1" x14ac:dyDescent="0.3"/>
    <row r="75" spans="1:12" ht="18" customHeight="1" x14ac:dyDescent="0.3"/>
    <row r="76" spans="1:12" ht="18" customHeight="1" x14ac:dyDescent="0.3"/>
  </sheetData>
  <mergeCells count="4">
    <mergeCell ref="A2:J2"/>
    <mergeCell ref="A3:J3"/>
    <mergeCell ref="B4:E4"/>
    <mergeCell ref="H47:I47"/>
  </mergeCells>
  <printOptions horizontalCentered="1"/>
  <pageMargins left="0.5" right="0.5" top="0.5" bottom="0.5" header="0" footer="0"/>
  <pageSetup scale="70" orientation="portrait" horizontalDpi="4294967292" verticalDpi="4294967292" r:id="rId1"/>
  <headerFooter>
    <oddFooter>&amp;L&amp;K000000_x000D_14.333 Geotechnical Laboratory&amp;C&amp;K000000_x000D_Revised 01/12&amp;R&amp;K000000_x000D___ of __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2:H101"/>
  <sheetViews>
    <sheetView topLeftCell="A64" workbookViewId="0">
      <selection activeCell="B77" sqref="B77"/>
    </sheetView>
  </sheetViews>
  <sheetFormatPr defaultRowHeight="14.4" x14ac:dyDescent="0.3"/>
  <cols>
    <col min="1" max="1" width="21.6640625" customWidth="1"/>
    <col min="2" max="2" width="8" customWidth="1"/>
    <col min="7" max="7" width="11.5546875" bestFit="1" customWidth="1"/>
  </cols>
  <sheetData>
    <row r="2" spans="1:8" ht="63.6" customHeight="1" x14ac:dyDescent="0.3">
      <c r="A2" s="14" t="s">
        <v>0</v>
      </c>
      <c r="B2" s="168" t="s">
        <v>1</v>
      </c>
      <c r="C2" s="168"/>
      <c r="D2" s="168"/>
      <c r="E2" s="168"/>
      <c r="F2" s="168"/>
      <c r="G2" s="168"/>
      <c r="H2" s="168"/>
    </row>
    <row r="3" spans="1:8" x14ac:dyDescent="0.3">
      <c r="A3" s="15" t="s">
        <v>7</v>
      </c>
      <c r="B3" s="169" t="s">
        <v>34</v>
      </c>
      <c r="C3" s="170"/>
      <c r="D3" s="170"/>
      <c r="E3" s="170"/>
      <c r="F3" s="170"/>
      <c r="G3" s="170"/>
      <c r="H3" s="171"/>
    </row>
    <row r="4" spans="1:8" x14ac:dyDescent="0.3">
      <c r="A4" s="25"/>
      <c r="B4" s="21"/>
      <c r="C4" s="21"/>
      <c r="D4" s="21"/>
      <c r="E4" s="21"/>
      <c r="F4" s="21"/>
      <c r="G4" s="21"/>
      <c r="H4" s="21"/>
    </row>
    <row r="5" spans="1:8" x14ac:dyDescent="0.3">
      <c r="A5" s="11" t="s">
        <v>16</v>
      </c>
      <c r="B5" t="s">
        <v>58</v>
      </c>
      <c r="F5" s="10"/>
      <c r="G5" s="10"/>
      <c r="H5" s="10"/>
    </row>
    <row r="6" spans="1:8" ht="15" thickBot="1" x14ac:dyDescent="0.35">
      <c r="F6" s="10"/>
      <c r="G6" s="10"/>
      <c r="H6" s="10"/>
    </row>
    <row r="7" spans="1:8" x14ac:dyDescent="0.3">
      <c r="A7" s="163" t="s">
        <v>3</v>
      </c>
      <c r="B7" s="164"/>
      <c r="C7" s="164"/>
      <c r="D7" s="164"/>
      <c r="E7" s="165"/>
      <c r="F7" s="10"/>
      <c r="G7" s="10"/>
      <c r="H7" s="10"/>
    </row>
    <row r="8" spans="1:8" x14ac:dyDescent="0.3">
      <c r="A8" s="3"/>
      <c r="B8" s="166" t="s">
        <v>8</v>
      </c>
      <c r="C8" s="166"/>
      <c r="D8" s="166" t="s">
        <v>308</v>
      </c>
      <c r="E8" s="167"/>
      <c r="F8" s="10"/>
      <c r="G8" s="10"/>
      <c r="H8" s="10"/>
    </row>
    <row r="9" spans="1:8" x14ac:dyDescent="0.3">
      <c r="A9" s="8" t="s">
        <v>4</v>
      </c>
      <c r="B9" s="1" t="s">
        <v>69</v>
      </c>
      <c r="C9" s="1" t="s">
        <v>73</v>
      </c>
      <c r="D9" s="1"/>
      <c r="E9" s="4"/>
      <c r="F9" s="10"/>
      <c r="G9" s="148" t="s">
        <v>290</v>
      </c>
      <c r="H9" s="21"/>
    </row>
    <row r="10" spans="1:8" x14ac:dyDescent="0.3">
      <c r="A10" s="8" t="s">
        <v>10</v>
      </c>
      <c r="B10" s="2">
        <v>35.53</v>
      </c>
      <c r="C10" s="2">
        <v>38.130000000000003</v>
      </c>
      <c r="D10" s="2"/>
      <c r="E10" s="2"/>
      <c r="F10" s="10"/>
      <c r="G10" s="10">
        <f>AVERAGE(B15:C15)</f>
        <v>103.49948568824536</v>
      </c>
      <c r="H10" s="21"/>
    </row>
    <row r="11" spans="1:8" x14ac:dyDescent="0.3">
      <c r="A11" s="8" t="s">
        <v>11</v>
      </c>
      <c r="B11" s="2">
        <v>159.72999999999999</v>
      </c>
      <c r="C11" s="2">
        <v>210.88</v>
      </c>
      <c r="D11" s="2"/>
      <c r="E11" s="2"/>
      <c r="F11" s="10"/>
      <c r="G11" s="10"/>
      <c r="H11" s="12"/>
    </row>
    <row r="12" spans="1:8" x14ac:dyDescent="0.3">
      <c r="A12" s="8" t="s">
        <v>12</v>
      </c>
      <c r="B12" s="2">
        <v>95.4</v>
      </c>
      <c r="C12" s="2">
        <v>124.7</v>
      </c>
      <c r="D12" s="2"/>
      <c r="E12" s="5"/>
      <c r="F12" s="10"/>
      <c r="G12" s="10"/>
      <c r="H12" s="12"/>
    </row>
    <row r="13" spans="1:8" x14ac:dyDescent="0.3">
      <c r="A13" s="8" t="s">
        <v>13</v>
      </c>
      <c r="B13" s="2">
        <f>B11-B12</f>
        <v>64.329999999999984</v>
      </c>
      <c r="C13" s="2">
        <f>C11-C12</f>
        <v>86.179999999999993</v>
      </c>
      <c r="D13" s="2"/>
      <c r="E13" s="2"/>
      <c r="F13" s="10"/>
      <c r="G13" s="10"/>
      <c r="H13" s="12"/>
    </row>
    <row r="14" spans="1:8" x14ac:dyDescent="0.3">
      <c r="A14" s="8" t="s">
        <v>14</v>
      </c>
      <c r="B14" s="2">
        <f>B12-B10</f>
        <v>59.870000000000005</v>
      </c>
      <c r="C14" s="2">
        <f>C12-C10</f>
        <v>86.57</v>
      </c>
      <c r="D14" s="2"/>
      <c r="E14" s="2"/>
      <c r="F14" s="10"/>
      <c r="G14" s="10"/>
      <c r="H14" s="12"/>
    </row>
    <row r="15" spans="1:8" ht="15" thickBot="1" x14ac:dyDescent="0.35">
      <c r="A15" s="9" t="s">
        <v>15</v>
      </c>
      <c r="B15" s="6">
        <f>(B13/(B14))*100</f>
        <v>107.44947386003003</v>
      </c>
      <c r="C15" s="6">
        <f>(C13/(C14))*100</f>
        <v>99.549497516460676</v>
      </c>
      <c r="D15" s="6">
        <f>(B14/(B11-B10))*100</f>
        <v>48.204508856682779</v>
      </c>
      <c r="E15" s="6">
        <f>(C14/(C11-C10))*100</f>
        <v>50.112879884225755</v>
      </c>
      <c r="F15" s="10"/>
      <c r="G15" s="10">
        <f>AVERAGE(D15:E15)</f>
        <v>49.15869437045427</v>
      </c>
      <c r="H15" s="12"/>
    </row>
    <row r="16" spans="1:8" x14ac:dyDescent="0.3">
      <c r="B16" s="12"/>
      <c r="C16" s="12"/>
      <c r="D16" s="12"/>
      <c r="E16" s="12"/>
      <c r="F16" s="10"/>
      <c r="G16" s="10"/>
      <c r="H16" s="12"/>
    </row>
    <row r="17" spans="1:8" x14ac:dyDescent="0.3">
      <c r="A17" s="11" t="s">
        <v>20</v>
      </c>
      <c r="B17" t="s">
        <v>67</v>
      </c>
      <c r="F17" s="10"/>
      <c r="G17" s="10"/>
      <c r="H17" s="12"/>
    </row>
    <row r="18" spans="1:8" ht="15" thickBot="1" x14ac:dyDescent="0.35">
      <c r="F18" s="10"/>
      <c r="G18" s="10"/>
      <c r="H18" s="12"/>
    </row>
    <row r="19" spans="1:8" x14ac:dyDescent="0.3">
      <c r="A19" s="163" t="s">
        <v>3</v>
      </c>
      <c r="B19" s="164"/>
      <c r="C19" s="164"/>
      <c r="D19" s="164"/>
      <c r="E19" s="165"/>
      <c r="F19" s="10"/>
      <c r="G19" s="10"/>
      <c r="H19" s="21"/>
    </row>
    <row r="20" spans="1:8" x14ac:dyDescent="0.3">
      <c r="A20" s="3"/>
      <c r="B20" s="166" t="s">
        <v>8</v>
      </c>
      <c r="C20" s="166"/>
      <c r="D20" s="166"/>
      <c r="E20" s="167"/>
      <c r="H20" s="12"/>
    </row>
    <row r="21" spans="1:8" x14ac:dyDescent="0.3">
      <c r="A21" s="8" t="s">
        <v>4</v>
      </c>
      <c r="B21" s="1" t="s">
        <v>29</v>
      </c>
      <c r="C21" s="1" t="s">
        <v>78</v>
      </c>
      <c r="D21" s="1"/>
      <c r="E21" s="4"/>
      <c r="G21" s="148" t="s">
        <v>290</v>
      </c>
      <c r="H21" s="12"/>
    </row>
    <row r="22" spans="1:8" x14ac:dyDescent="0.3">
      <c r="A22" s="8" t="s">
        <v>10</v>
      </c>
      <c r="B22" s="2">
        <v>34.200000000000003</v>
      </c>
      <c r="C22" s="2">
        <v>34.92</v>
      </c>
      <c r="D22" s="2"/>
      <c r="E22" s="2"/>
      <c r="G22" s="10">
        <f>AVERAGE(B27:C27)</f>
        <v>79.010426634274097</v>
      </c>
    </row>
    <row r="23" spans="1:8" x14ac:dyDescent="0.3">
      <c r="A23" s="8" t="s">
        <v>11</v>
      </c>
      <c r="B23" s="2">
        <v>288.05</v>
      </c>
      <c r="C23" s="2">
        <v>325.94</v>
      </c>
      <c r="D23" s="2"/>
      <c r="E23" s="2"/>
    </row>
    <row r="24" spans="1:8" x14ac:dyDescent="0.3">
      <c r="A24" s="8" t="s">
        <v>12</v>
      </c>
      <c r="B24" s="2">
        <v>176</v>
      </c>
      <c r="C24" s="2">
        <v>197.5</v>
      </c>
      <c r="D24" s="2"/>
      <c r="E24" s="5"/>
    </row>
    <row r="25" spans="1:8" x14ac:dyDescent="0.3">
      <c r="A25" s="8" t="s">
        <v>13</v>
      </c>
      <c r="B25" s="2">
        <f>B23-B24</f>
        <v>112.05000000000001</v>
      </c>
      <c r="C25" s="2">
        <f>C23-C24</f>
        <v>128.44</v>
      </c>
      <c r="D25" s="2"/>
      <c r="E25" s="2"/>
    </row>
    <row r="26" spans="1:8" x14ac:dyDescent="0.3">
      <c r="A26" s="8" t="s">
        <v>14</v>
      </c>
      <c r="B26" s="2">
        <f>B24-B22</f>
        <v>141.80000000000001</v>
      </c>
      <c r="C26" s="2">
        <f>C24-C22</f>
        <v>162.57999999999998</v>
      </c>
      <c r="D26" s="2"/>
      <c r="E26" s="2"/>
    </row>
    <row r="27" spans="1:8" ht="15" thickBot="1" x14ac:dyDescent="0.35">
      <c r="A27" s="9" t="s">
        <v>15</v>
      </c>
      <c r="B27" s="6">
        <f>(B25/(B26))*100</f>
        <v>79.019746121297601</v>
      </c>
      <c r="C27" s="6">
        <f>(C25/(C26))*100</f>
        <v>79.001107147250593</v>
      </c>
      <c r="D27" s="6"/>
      <c r="E27" s="6"/>
    </row>
    <row r="28" spans="1:8" x14ac:dyDescent="0.3">
      <c r="B28" s="12"/>
      <c r="C28" s="12"/>
      <c r="D28" s="12"/>
      <c r="E28" s="12"/>
    </row>
    <row r="29" spans="1:8" x14ac:dyDescent="0.3">
      <c r="B29" s="10"/>
      <c r="C29" s="10"/>
      <c r="D29" s="10"/>
      <c r="E29" s="10"/>
    </row>
    <row r="30" spans="1:8" x14ac:dyDescent="0.3">
      <c r="A30" s="11" t="s">
        <v>21</v>
      </c>
      <c r="B30" t="s">
        <v>17</v>
      </c>
    </row>
    <row r="31" spans="1:8" ht="15" thickBot="1" x14ac:dyDescent="0.35"/>
    <row r="32" spans="1:8" x14ac:dyDescent="0.3">
      <c r="A32" s="163" t="s">
        <v>3</v>
      </c>
      <c r="B32" s="164"/>
      <c r="C32" s="164"/>
      <c r="D32" s="164"/>
      <c r="E32" s="165"/>
      <c r="G32" s="148" t="s">
        <v>290</v>
      </c>
    </row>
    <row r="33" spans="1:7" x14ac:dyDescent="0.3">
      <c r="A33" s="3"/>
      <c r="B33" s="166" t="s">
        <v>8</v>
      </c>
      <c r="C33" s="166"/>
      <c r="D33" s="166" t="s">
        <v>9</v>
      </c>
      <c r="E33" s="167"/>
      <c r="G33" s="10">
        <f>AVERAGE(B40:E40)</f>
        <v>47.222381728518869</v>
      </c>
    </row>
    <row r="34" spans="1:7" x14ac:dyDescent="0.3">
      <c r="A34" s="8" t="s">
        <v>4</v>
      </c>
      <c r="B34" s="1" t="s">
        <v>18</v>
      </c>
      <c r="C34" s="1" t="s">
        <v>19</v>
      </c>
      <c r="D34" s="1" t="s">
        <v>18</v>
      </c>
      <c r="E34" s="4" t="s">
        <v>19</v>
      </c>
    </row>
    <row r="35" spans="1:7" x14ac:dyDescent="0.3">
      <c r="A35" s="8" t="s">
        <v>10</v>
      </c>
      <c r="B35" s="2">
        <v>41.57</v>
      </c>
      <c r="C35" s="2">
        <v>43.15</v>
      </c>
      <c r="D35" s="2">
        <v>41.57</v>
      </c>
      <c r="E35" s="2">
        <v>43.15</v>
      </c>
    </row>
    <row r="36" spans="1:7" x14ac:dyDescent="0.3">
      <c r="A36" s="8" t="s">
        <v>11</v>
      </c>
      <c r="B36" s="2">
        <v>289.12</v>
      </c>
      <c r="C36" s="2">
        <v>271.60000000000002</v>
      </c>
      <c r="D36" s="2">
        <v>289.12</v>
      </c>
      <c r="E36" s="2">
        <v>271.60000000000002</v>
      </c>
    </row>
    <row r="37" spans="1:7" x14ac:dyDescent="0.3">
      <c r="A37" s="8" t="s">
        <v>12</v>
      </c>
      <c r="B37" s="2">
        <v>209.55</v>
      </c>
      <c r="C37" s="2">
        <v>199.09</v>
      </c>
      <c r="D37" s="2">
        <v>208.86</v>
      </c>
      <c r="E37" s="5">
        <v>198.51</v>
      </c>
    </row>
    <row r="38" spans="1:7" x14ac:dyDescent="0.3">
      <c r="A38" s="8" t="s">
        <v>13</v>
      </c>
      <c r="B38" s="2">
        <f>B36-B37</f>
        <v>79.569999999999993</v>
      </c>
      <c r="C38" s="2">
        <f>C36-C37</f>
        <v>72.510000000000019</v>
      </c>
      <c r="D38" s="2">
        <f>D36-D37</f>
        <v>80.259999999999991</v>
      </c>
      <c r="E38" s="2">
        <f>E36-E37</f>
        <v>73.090000000000032</v>
      </c>
    </row>
    <row r="39" spans="1:7" x14ac:dyDescent="0.3">
      <c r="A39" s="8" t="s">
        <v>14</v>
      </c>
      <c r="B39" s="2">
        <f>B37-B35</f>
        <v>167.98000000000002</v>
      </c>
      <c r="C39" s="2">
        <f>C37-C35</f>
        <v>155.94</v>
      </c>
      <c r="D39" s="2">
        <f>D37-D35</f>
        <v>167.29000000000002</v>
      </c>
      <c r="E39" s="2">
        <f>E37-E35</f>
        <v>155.35999999999999</v>
      </c>
    </row>
    <row r="40" spans="1:7" ht="15" thickBot="1" x14ac:dyDescent="0.35">
      <c r="A40" s="9" t="s">
        <v>15</v>
      </c>
      <c r="B40" s="6">
        <f>(B38/(B39))*100</f>
        <v>47.368734373139645</v>
      </c>
      <c r="C40" s="6">
        <f t="shared" ref="C40:E40" si="0">(C38/(C39))*100</f>
        <v>46.498653328203169</v>
      </c>
      <c r="D40" s="6">
        <f t="shared" si="0"/>
        <v>47.976567637037469</v>
      </c>
      <c r="E40" s="6">
        <f t="shared" si="0"/>
        <v>47.045571575695185</v>
      </c>
    </row>
    <row r="41" spans="1:7" x14ac:dyDescent="0.3">
      <c r="A41" s="13"/>
      <c r="B41" s="12"/>
      <c r="C41" s="12"/>
      <c r="D41" s="12"/>
      <c r="E41" s="12"/>
    </row>
    <row r="42" spans="1:7" x14ac:dyDescent="0.3">
      <c r="A42" s="11" t="s">
        <v>25</v>
      </c>
      <c r="B42" t="s">
        <v>2</v>
      </c>
    </row>
    <row r="43" spans="1:7" ht="15" thickBot="1" x14ac:dyDescent="0.35"/>
    <row r="44" spans="1:7" x14ac:dyDescent="0.3">
      <c r="A44" s="163" t="s">
        <v>3</v>
      </c>
      <c r="B44" s="164"/>
      <c r="C44" s="164"/>
      <c r="D44" s="164"/>
      <c r="E44" s="165"/>
      <c r="G44" s="148" t="s">
        <v>290</v>
      </c>
    </row>
    <row r="45" spans="1:7" x14ac:dyDescent="0.3">
      <c r="A45" s="3"/>
      <c r="B45" s="166" t="s">
        <v>8</v>
      </c>
      <c r="C45" s="166"/>
      <c r="D45" s="166" t="s">
        <v>9</v>
      </c>
      <c r="E45" s="167"/>
      <c r="G45" s="10">
        <f>AVERAGE(B52:E52)</f>
        <v>87.812998348520509</v>
      </c>
    </row>
    <row r="46" spans="1:7" x14ac:dyDescent="0.3">
      <c r="A46" s="8" t="s">
        <v>4</v>
      </c>
      <c r="B46" s="1" t="s">
        <v>5</v>
      </c>
      <c r="C46" s="1" t="s">
        <v>6</v>
      </c>
      <c r="D46" s="1" t="s">
        <v>5</v>
      </c>
      <c r="E46" s="4" t="s">
        <v>6</v>
      </c>
    </row>
    <row r="47" spans="1:7" x14ac:dyDescent="0.3">
      <c r="A47" s="8" t="s">
        <v>10</v>
      </c>
      <c r="B47" s="2">
        <v>32.659999999999997</v>
      </c>
      <c r="C47" s="2">
        <v>31.01</v>
      </c>
      <c r="D47" s="2">
        <v>32.659999999999997</v>
      </c>
      <c r="E47" s="2">
        <v>31.01</v>
      </c>
    </row>
    <row r="48" spans="1:7" x14ac:dyDescent="0.3">
      <c r="A48" s="8" t="s">
        <v>11</v>
      </c>
      <c r="B48" s="2">
        <v>254.75</v>
      </c>
      <c r="C48" s="2">
        <v>224.65</v>
      </c>
      <c r="D48" s="2">
        <v>254.75</v>
      </c>
      <c r="E48" s="2">
        <v>224.65</v>
      </c>
    </row>
    <row r="49" spans="1:7" x14ac:dyDescent="0.3">
      <c r="A49" s="8" t="s">
        <v>12</v>
      </c>
      <c r="B49" s="2">
        <v>151.32</v>
      </c>
      <c r="C49" s="2">
        <v>134.38</v>
      </c>
      <c r="D49" s="2">
        <v>150.5</v>
      </c>
      <c r="E49" s="5">
        <v>133.85</v>
      </c>
    </row>
    <row r="50" spans="1:7" x14ac:dyDescent="0.3">
      <c r="A50" s="8" t="s">
        <v>13</v>
      </c>
      <c r="B50" s="2">
        <f>B48-B49</f>
        <v>103.43</v>
      </c>
      <c r="C50" s="2">
        <f>C48-C49</f>
        <v>90.27000000000001</v>
      </c>
      <c r="D50" s="2">
        <f>D48-D49</f>
        <v>104.25</v>
      </c>
      <c r="E50" s="2">
        <f>E48-E49</f>
        <v>90.800000000000011</v>
      </c>
    </row>
    <row r="51" spans="1:7" x14ac:dyDescent="0.3">
      <c r="A51" s="8" t="s">
        <v>14</v>
      </c>
      <c r="B51" s="2">
        <f>B49-B47</f>
        <v>118.66</v>
      </c>
      <c r="C51" s="2">
        <f>C49-C47</f>
        <v>103.36999999999999</v>
      </c>
      <c r="D51" s="2">
        <f>D49-D47</f>
        <v>117.84</v>
      </c>
      <c r="E51" s="2">
        <f>E49-E47</f>
        <v>102.83999999999999</v>
      </c>
    </row>
    <row r="52" spans="1:7" ht="15" thickBot="1" x14ac:dyDescent="0.35">
      <c r="A52" s="9" t="s">
        <v>15</v>
      </c>
      <c r="B52" s="6">
        <f>(B50/(B51))*100</f>
        <v>87.165009270183731</v>
      </c>
      <c r="C52" s="6">
        <f t="shared" ref="C52:E52" si="1">(C50/(C51))*100</f>
        <v>87.32707748863308</v>
      </c>
      <c r="D52" s="6">
        <f t="shared" si="1"/>
        <v>88.467413441955188</v>
      </c>
      <c r="E52" s="6">
        <f t="shared" si="1"/>
        <v>88.292493193310023</v>
      </c>
    </row>
    <row r="54" spans="1:7" x14ac:dyDescent="0.3">
      <c r="A54" s="11" t="s">
        <v>27</v>
      </c>
      <c r="B54" t="s">
        <v>22</v>
      </c>
    </row>
    <row r="55" spans="1:7" ht="15" thickBot="1" x14ac:dyDescent="0.35"/>
    <row r="56" spans="1:7" x14ac:dyDescent="0.3">
      <c r="A56" s="163" t="s">
        <v>3</v>
      </c>
      <c r="B56" s="164"/>
      <c r="C56" s="164"/>
      <c r="D56" s="164"/>
      <c r="E56" s="165"/>
      <c r="G56" s="148" t="s">
        <v>290</v>
      </c>
    </row>
    <row r="57" spans="1:7" x14ac:dyDescent="0.3">
      <c r="A57" s="3"/>
      <c r="B57" s="166" t="s">
        <v>8</v>
      </c>
      <c r="C57" s="166"/>
      <c r="D57" s="166" t="s">
        <v>9</v>
      </c>
      <c r="E57" s="167"/>
      <c r="G57" s="10">
        <f>AVERAGE(B64:E64)</f>
        <v>60.536219783364544</v>
      </c>
    </row>
    <row r="58" spans="1:7" x14ac:dyDescent="0.3">
      <c r="A58" s="8" t="s">
        <v>4</v>
      </c>
      <c r="B58" s="1">
        <v>51</v>
      </c>
      <c r="C58" s="1" t="s">
        <v>23</v>
      </c>
      <c r="D58" s="1">
        <v>51</v>
      </c>
      <c r="E58" s="4" t="s">
        <v>23</v>
      </c>
    </row>
    <row r="59" spans="1:7" x14ac:dyDescent="0.3">
      <c r="A59" s="8" t="s">
        <v>10</v>
      </c>
      <c r="B59" s="2">
        <v>30.34</v>
      </c>
      <c r="C59" s="2">
        <v>45.23</v>
      </c>
      <c r="D59" s="2">
        <v>30.34</v>
      </c>
      <c r="E59" s="2">
        <v>45.23</v>
      </c>
    </row>
    <row r="60" spans="1:7" x14ac:dyDescent="0.3">
      <c r="A60" s="8" t="s">
        <v>11</v>
      </c>
      <c r="B60" s="2">
        <v>296.07</v>
      </c>
      <c r="C60" s="2">
        <v>367.18</v>
      </c>
      <c r="D60" s="2">
        <v>296.07</v>
      </c>
      <c r="E60" s="2">
        <v>367.18</v>
      </c>
    </row>
    <row r="61" spans="1:7" x14ac:dyDescent="0.3">
      <c r="A61" s="8" t="s">
        <v>12</v>
      </c>
      <c r="B61" s="2">
        <v>197.61</v>
      </c>
      <c r="C61" s="2">
        <v>244.95</v>
      </c>
      <c r="D61" s="2">
        <v>196.4</v>
      </c>
      <c r="E61" s="5">
        <v>243.89</v>
      </c>
    </row>
    <row r="62" spans="1:7" x14ac:dyDescent="0.3">
      <c r="A62" s="8" t="s">
        <v>13</v>
      </c>
      <c r="B62" s="2">
        <f>B60-B61</f>
        <v>98.45999999999998</v>
      </c>
      <c r="C62" s="2">
        <f>C60-C61</f>
        <v>122.23000000000002</v>
      </c>
      <c r="D62" s="2">
        <f>D60-D61</f>
        <v>99.669999999999987</v>
      </c>
      <c r="E62" s="2">
        <f>E60-E61</f>
        <v>123.29000000000002</v>
      </c>
    </row>
    <row r="63" spans="1:7" x14ac:dyDescent="0.3">
      <c r="A63" s="8" t="s">
        <v>14</v>
      </c>
      <c r="B63" s="2">
        <f>B61-B59</f>
        <v>167.27</v>
      </c>
      <c r="C63" s="2">
        <f>C61-C59</f>
        <v>199.72</v>
      </c>
      <c r="D63" s="2">
        <f>D61-D59</f>
        <v>166.06</v>
      </c>
      <c r="E63" s="2">
        <f>E61-E59</f>
        <v>198.66</v>
      </c>
    </row>
    <row r="64" spans="1:7" ht="15" thickBot="1" x14ac:dyDescent="0.35">
      <c r="A64" s="9" t="s">
        <v>15</v>
      </c>
      <c r="B64" s="6">
        <f>(B62/(B63))*100</f>
        <v>58.862916243199606</v>
      </c>
      <c r="C64" s="6">
        <f t="shared" ref="C64:E64" si="2">(C62/(C63))*100</f>
        <v>61.200680953334675</v>
      </c>
      <c r="D64" s="6">
        <f t="shared" si="2"/>
        <v>60.020474527279291</v>
      </c>
      <c r="E64" s="6">
        <f t="shared" si="2"/>
        <v>62.060807409644624</v>
      </c>
    </row>
    <row r="67" spans="1:7" x14ac:dyDescent="0.3">
      <c r="A67" s="11" t="s">
        <v>30</v>
      </c>
      <c r="B67" t="s">
        <v>24</v>
      </c>
    </row>
    <row r="68" spans="1:7" ht="15" thickBot="1" x14ac:dyDescent="0.35"/>
    <row r="69" spans="1:7" x14ac:dyDescent="0.3">
      <c r="A69" s="163" t="s">
        <v>3</v>
      </c>
      <c r="B69" s="164"/>
      <c r="C69" s="164"/>
      <c r="D69" s="164"/>
      <c r="E69" s="165"/>
      <c r="G69" s="148" t="s">
        <v>290</v>
      </c>
    </row>
    <row r="70" spans="1:7" x14ac:dyDescent="0.3">
      <c r="A70" s="3"/>
      <c r="B70" s="166" t="s">
        <v>8</v>
      </c>
      <c r="C70" s="166"/>
      <c r="D70" s="166" t="s">
        <v>9</v>
      </c>
      <c r="E70" s="167"/>
      <c r="G70" s="10">
        <f>AVERAGE(B77:E77)</f>
        <v>116.98157652469629</v>
      </c>
    </row>
    <row r="71" spans="1:7" x14ac:dyDescent="0.3">
      <c r="A71" s="8" t="s">
        <v>4</v>
      </c>
      <c r="B71" s="1">
        <v>16</v>
      </c>
      <c r="C71" s="1" t="s">
        <v>26</v>
      </c>
      <c r="D71" s="1">
        <v>16</v>
      </c>
      <c r="E71" s="4" t="s">
        <v>26</v>
      </c>
    </row>
    <row r="72" spans="1:7" x14ac:dyDescent="0.3">
      <c r="A72" s="8" t="s">
        <v>10</v>
      </c>
      <c r="B72" s="2">
        <v>31.02</v>
      </c>
      <c r="C72" s="2">
        <v>34.69</v>
      </c>
      <c r="D72" s="2">
        <v>31.02</v>
      </c>
      <c r="E72" s="2">
        <v>34.69</v>
      </c>
    </row>
    <row r="73" spans="1:7" x14ac:dyDescent="0.3">
      <c r="A73" s="8" t="s">
        <v>11</v>
      </c>
      <c r="B73" s="2">
        <v>162.36000000000001</v>
      </c>
      <c r="C73" s="2">
        <v>164.93</v>
      </c>
      <c r="D73" s="2">
        <v>162.36000000000001</v>
      </c>
      <c r="E73" s="2">
        <v>164.93</v>
      </c>
    </row>
    <row r="74" spans="1:7" x14ac:dyDescent="0.3">
      <c r="A74" s="8" t="s">
        <v>12</v>
      </c>
      <c r="B74" s="2">
        <v>93.18</v>
      </c>
      <c r="C74" s="2">
        <v>94.95</v>
      </c>
      <c r="D74" s="2">
        <v>90.96</v>
      </c>
      <c r="E74" s="5">
        <v>93.52</v>
      </c>
    </row>
    <row r="75" spans="1:7" x14ac:dyDescent="0.3">
      <c r="A75" s="8" t="s">
        <v>13</v>
      </c>
      <c r="B75" s="2">
        <f>B73-B74</f>
        <v>69.180000000000007</v>
      </c>
      <c r="C75" s="2">
        <f>C73-C74</f>
        <v>69.98</v>
      </c>
      <c r="D75" s="2">
        <f>D73-D74</f>
        <v>71.40000000000002</v>
      </c>
      <c r="E75" s="2">
        <f>E73-E74</f>
        <v>71.410000000000011</v>
      </c>
    </row>
    <row r="76" spans="1:7" x14ac:dyDescent="0.3">
      <c r="A76" s="8" t="s">
        <v>14</v>
      </c>
      <c r="B76" s="2">
        <f>B74-B72</f>
        <v>62.160000000000011</v>
      </c>
      <c r="C76" s="2">
        <f>C74-C72</f>
        <v>60.260000000000005</v>
      </c>
      <c r="D76" s="2">
        <f>D74-D72</f>
        <v>59.94</v>
      </c>
      <c r="E76" s="2">
        <f>E74-E72</f>
        <v>58.83</v>
      </c>
    </row>
    <row r="77" spans="1:7" ht="15" thickBot="1" x14ac:dyDescent="0.35">
      <c r="A77" s="9" t="s">
        <v>15</v>
      </c>
      <c r="B77" s="6">
        <f>(B75/(B76))*100</f>
        <v>111.29343629343629</v>
      </c>
      <c r="C77" s="6">
        <f t="shared" ref="C77:E77" si="3">(C75/(C76))*100</f>
        <v>116.13010288748755</v>
      </c>
      <c r="D77" s="6">
        <f t="shared" si="3"/>
        <v>119.11911911911916</v>
      </c>
      <c r="E77" s="6">
        <f t="shared" si="3"/>
        <v>121.38364779874216</v>
      </c>
    </row>
    <row r="79" spans="1:7" x14ac:dyDescent="0.3">
      <c r="A79" s="11" t="s">
        <v>81</v>
      </c>
      <c r="B79" t="s">
        <v>28</v>
      </c>
    </row>
    <row r="80" spans="1:7" ht="15" thickBot="1" x14ac:dyDescent="0.35"/>
    <row r="81" spans="1:7" x14ac:dyDescent="0.3">
      <c r="A81" s="163" t="s">
        <v>3</v>
      </c>
      <c r="B81" s="164"/>
      <c r="C81" s="164"/>
      <c r="D81" s="164"/>
      <c r="E81" s="165"/>
      <c r="G81" s="148" t="s">
        <v>290</v>
      </c>
    </row>
    <row r="82" spans="1:7" x14ac:dyDescent="0.3">
      <c r="A82" s="3"/>
      <c r="B82" s="166" t="s">
        <v>8</v>
      </c>
      <c r="C82" s="166"/>
      <c r="D82" s="166" t="s">
        <v>9</v>
      </c>
      <c r="E82" s="167"/>
      <c r="G82" s="10">
        <f>AVERAGE(B89:E89)</f>
        <v>116.71297348976158</v>
      </c>
    </row>
    <row r="83" spans="1:7" x14ac:dyDescent="0.3">
      <c r="A83" s="8" t="s">
        <v>4</v>
      </c>
      <c r="B83" s="1" t="s">
        <v>29</v>
      </c>
      <c r="C83" s="1">
        <v>19</v>
      </c>
      <c r="D83" s="1" t="s">
        <v>29</v>
      </c>
      <c r="E83" s="4">
        <v>19</v>
      </c>
    </row>
    <row r="84" spans="1:7" x14ac:dyDescent="0.3">
      <c r="A84" s="8" t="s">
        <v>10</v>
      </c>
      <c r="B84" s="2">
        <v>34.32</v>
      </c>
      <c r="C84" s="2">
        <v>26.43</v>
      </c>
      <c r="D84" s="2">
        <v>34.32</v>
      </c>
      <c r="E84" s="2">
        <v>26.43</v>
      </c>
    </row>
    <row r="85" spans="1:7" x14ac:dyDescent="0.3">
      <c r="A85" s="8" t="s">
        <v>11</v>
      </c>
      <c r="B85" s="2">
        <v>192.09</v>
      </c>
      <c r="C85" s="2">
        <v>166.73</v>
      </c>
      <c r="D85" s="2">
        <v>192.09</v>
      </c>
      <c r="E85" s="2">
        <v>166.73</v>
      </c>
    </row>
    <row r="86" spans="1:7" x14ac:dyDescent="0.3">
      <c r="A86" s="8" t="s">
        <v>12</v>
      </c>
      <c r="B86" s="2">
        <v>108.41</v>
      </c>
      <c r="C86" s="2">
        <v>93.19</v>
      </c>
      <c r="D86" s="2">
        <v>105.13</v>
      </c>
      <c r="E86" s="5">
        <v>89.93</v>
      </c>
    </row>
    <row r="87" spans="1:7" x14ac:dyDescent="0.3">
      <c r="A87" s="8" t="s">
        <v>13</v>
      </c>
      <c r="B87" s="2">
        <f>B85-B86</f>
        <v>83.68</v>
      </c>
      <c r="C87" s="2">
        <f>C85-C86</f>
        <v>73.539999999999992</v>
      </c>
      <c r="D87" s="2">
        <f>D85-D86</f>
        <v>86.960000000000008</v>
      </c>
      <c r="E87" s="2">
        <f>E85-E86</f>
        <v>76.799999999999983</v>
      </c>
    </row>
    <row r="88" spans="1:7" x14ac:dyDescent="0.3">
      <c r="A88" s="8" t="s">
        <v>14</v>
      </c>
      <c r="B88" s="2">
        <f>B86-B84</f>
        <v>74.09</v>
      </c>
      <c r="C88" s="2">
        <f>C86-C84</f>
        <v>66.759999999999991</v>
      </c>
      <c r="D88" s="2">
        <f>D86-D84</f>
        <v>70.81</v>
      </c>
      <c r="E88" s="2">
        <f>E86-E84</f>
        <v>63.500000000000007</v>
      </c>
    </row>
    <row r="89" spans="1:7" ht="15" thickBot="1" x14ac:dyDescent="0.35">
      <c r="A89" s="9" t="s">
        <v>15</v>
      </c>
      <c r="B89" s="6">
        <f>(B87/(B88))*100</f>
        <v>112.94371710082333</v>
      </c>
      <c r="C89" s="6">
        <f t="shared" ref="C89:E89" si="4">(C87/(C88))*100</f>
        <v>110.15578190533253</v>
      </c>
      <c r="D89" s="6">
        <f t="shared" si="4"/>
        <v>122.80751306312669</v>
      </c>
      <c r="E89" s="6">
        <f t="shared" si="4"/>
        <v>120.94488188976374</v>
      </c>
    </row>
    <row r="91" spans="1:7" x14ac:dyDescent="0.3">
      <c r="A91" s="11" t="s">
        <v>84</v>
      </c>
      <c r="B91" t="s">
        <v>31</v>
      </c>
    </row>
    <row r="92" spans="1:7" ht="15" thickBot="1" x14ac:dyDescent="0.35"/>
    <row r="93" spans="1:7" x14ac:dyDescent="0.3">
      <c r="A93" s="163" t="s">
        <v>3</v>
      </c>
      <c r="B93" s="164"/>
      <c r="C93" s="164"/>
      <c r="D93" s="164"/>
      <c r="E93" s="165"/>
      <c r="G93" s="148" t="s">
        <v>290</v>
      </c>
    </row>
    <row r="94" spans="1:7" x14ac:dyDescent="0.3">
      <c r="A94" s="3"/>
      <c r="B94" s="166" t="s">
        <v>8</v>
      </c>
      <c r="C94" s="166"/>
      <c r="D94" s="166" t="s">
        <v>9</v>
      </c>
      <c r="E94" s="167"/>
      <c r="G94" s="10">
        <f>AVERAGE(B101:E101)</f>
        <v>95.340872521668132</v>
      </c>
    </row>
    <row r="95" spans="1:7" x14ac:dyDescent="0.3">
      <c r="A95" s="8" t="s">
        <v>4</v>
      </c>
      <c r="B95" s="1" t="s">
        <v>32</v>
      </c>
      <c r="C95" s="1" t="s">
        <v>33</v>
      </c>
      <c r="D95" s="1" t="s">
        <v>32</v>
      </c>
      <c r="E95" s="4" t="s">
        <v>33</v>
      </c>
    </row>
    <row r="96" spans="1:7" x14ac:dyDescent="0.3">
      <c r="A96" s="8" t="s">
        <v>10</v>
      </c>
      <c r="B96" s="2">
        <v>33.520000000000003</v>
      </c>
      <c r="C96" s="2">
        <v>29.5</v>
      </c>
      <c r="D96" s="2">
        <v>33.520000000000003</v>
      </c>
      <c r="E96" s="2">
        <v>29.5</v>
      </c>
    </row>
    <row r="97" spans="1:5" x14ac:dyDescent="0.3">
      <c r="A97" s="8" t="s">
        <v>11</v>
      </c>
      <c r="B97" s="2">
        <v>306.68</v>
      </c>
      <c r="C97" s="2">
        <v>288.16000000000003</v>
      </c>
      <c r="D97" s="2">
        <v>306.68</v>
      </c>
      <c r="E97" s="2">
        <v>288.16000000000003</v>
      </c>
    </row>
    <row r="98" spans="1:5" x14ac:dyDescent="0.3">
      <c r="A98" s="8" t="s">
        <v>12</v>
      </c>
      <c r="B98" s="2">
        <v>178.56</v>
      </c>
      <c r="C98" s="2">
        <v>169.01</v>
      </c>
      <c r="D98" s="2">
        <v>167.6</v>
      </c>
      <c r="E98" s="5">
        <v>156.36000000000001</v>
      </c>
    </row>
    <row r="99" spans="1:5" x14ac:dyDescent="0.3">
      <c r="A99" s="8" t="s">
        <v>13</v>
      </c>
      <c r="B99" s="2">
        <f>B97-B98</f>
        <v>128.12</v>
      </c>
      <c r="C99" s="2">
        <f>C97-C98</f>
        <v>119.15000000000003</v>
      </c>
      <c r="D99" s="2">
        <f>D97-D98</f>
        <v>139.08000000000001</v>
      </c>
      <c r="E99" s="2">
        <f>E97-E98</f>
        <v>131.80000000000001</v>
      </c>
    </row>
    <row r="100" spans="1:5" x14ac:dyDescent="0.3">
      <c r="A100" s="8" t="s">
        <v>14</v>
      </c>
      <c r="B100" s="2">
        <f>B98-B96</f>
        <v>145.04</v>
      </c>
      <c r="C100" s="2">
        <f>C98-C96</f>
        <v>139.51</v>
      </c>
      <c r="D100" s="2">
        <f>D98-D96</f>
        <v>134.07999999999998</v>
      </c>
      <c r="E100" s="2">
        <f>E98-E96</f>
        <v>126.86000000000001</v>
      </c>
    </row>
    <row r="101" spans="1:5" ht="15" thickBot="1" x14ac:dyDescent="0.35">
      <c r="A101" s="9" t="s">
        <v>15</v>
      </c>
      <c r="B101" s="6">
        <f>(B99/(B100))*100</f>
        <v>88.334252619966918</v>
      </c>
      <c r="C101" s="6">
        <f t="shared" ref="C101:E101" si="5">(C99/(C100))*100</f>
        <v>85.406064081427886</v>
      </c>
      <c r="D101" s="6">
        <f t="shared" si="5"/>
        <v>103.72911694510742</v>
      </c>
      <c r="E101" s="6">
        <f t="shared" si="5"/>
        <v>103.89405644017027</v>
      </c>
    </row>
  </sheetData>
  <mergeCells count="26">
    <mergeCell ref="B2:H2"/>
    <mergeCell ref="A44:E44"/>
    <mergeCell ref="B45:C45"/>
    <mergeCell ref="D45:E45"/>
    <mergeCell ref="A32:E32"/>
    <mergeCell ref="B33:C33"/>
    <mergeCell ref="D33:E33"/>
    <mergeCell ref="B3:H3"/>
    <mergeCell ref="A7:E7"/>
    <mergeCell ref="B8:C8"/>
    <mergeCell ref="D8:E8"/>
    <mergeCell ref="A19:E19"/>
    <mergeCell ref="B20:C20"/>
    <mergeCell ref="D20:E20"/>
    <mergeCell ref="A56:E56"/>
    <mergeCell ref="B57:C57"/>
    <mergeCell ref="D57:E57"/>
    <mergeCell ref="A69:E69"/>
    <mergeCell ref="B70:C70"/>
    <mergeCell ref="D70:E70"/>
    <mergeCell ref="A81:E81"/>
    <mergeCell ref="B82:C82"/>
    <mergeCell ref="D82:E82"/>
    <mergeCell ref="A93:E93"/>
    <mergeCell ref="B94:C94"/>
    <mergeCell ref="D94:E9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1DA21C-7F7C-40D1-A286-1D7FEF5610D6}">
  <dimension ref="A2:H101"/>
  <sheetViews>
    <sheetView workbookViewId="0">
      <selection activeCell="K21" sqref="K21"/>
    </sheetView>
  </sheetViews>
  <sheetFormatPr defaultRowHeight="14.4" x14ac:dyDescent="0.3"/>
  <cols>
    <col min="1" max="1" width="21.6640625" customWidth="1"/>
    <col min="2" max="2" width="8" customWidth="1"/>
    <col min="7" max="7" width="11.5546875" bestFit="1" customWidth="1"/>
  </cols>
  <sheetData>
    <row r="2" spans="1:8" ht="63.6" customHeight="1" x14ac:dyDescent="0.3">
      <c r="A2" s="14" t="s">
        <v>0</v>
      </c>
      <c r="B2" s="168" t="s">
        <v>1</v>
      </c>
      <c r="C2" s="168"/>
      <c r="D2" s="168"/>
      <c r="E2" s="168"/>
      <c r="F2" s="168"/>
      <c r="G2" s="168"/>
      <c r="H2" s="168"/>
    </row>
    <row r="3" spans="1:8" x14ac:dyDescent="0.3">
      <c r="A3" s="15" t="s">
        <v>7</v>
      </c>
      <c r="B3" s="169" t="s">
        <v>34</v>
      </c>
      <c r="C3" s="170"/>
      <c r="D3" s="170"/>
      <c r="E3" s="170"/>
      <c r="F3" s="170"/>
      <c r="G3" s="170"/>
      <c r="H3" s="171"/>
    </row>
    <row r="4" spans="1:8" x14ac:dyDescent="0.3">
      <c r="A4" s="25"/>
      <c r="B4" s="21"/>
      <c r="C4" s="21"/>
      <c r="D4" s="21"/>
      <c r="E4" s="21"/>
      <c r="F4" s="21"/>
      <c r="G4" s="21"/>
      <c r="H4" s="21"/>
    </row>
    <row r="5" spans="1:8" x14ac:dyDescent="0.3">
      <c r="A5" s="11" t="s">
        <v>16</v>
      </c>
      <c r="B5" t="s">
        <v>58</v>
      </c>
      <c r="F5" s="10"/>
      <c r="G5" s="10"/>
      <c r="H5" s="10"/>
    </row>
    <row r="6" spans="1:8" ht="15" thickBot="1" x14ac:dyDescent="0.35">
      <c r="F6" s="10"/>
      <c r="G6" s="10"/>
      <c r="H6" s="10"/>
    </row>
    <row r="7" spans="1:8" x14ac:dyDescent="0.3">
      <c r="A7" s="163" t="s">
        <v>3</v>
      </c>
      <c r="B7" s="164"/>
      <c r="C7" s="164"/>
      <c r="D7" s="164"/>
      <c r="E7" s="165"/>
      <c r="F7" s="10"/>
      <c r="G7" s="10"/>
      <c r="H7" s="10"/>
    </row>
    <row r="8" spans="1:8" x14ac:dyDescent="0.3">
      <c r="A8" s="3"/>
      <c r="B8" s="166" t="s">
        <v>8</v>
      </c>
      <c r="C8" s="166"/>
      <c r="D8" s="166" t="s">
        <v>308</v>
      </c>
      <c r="E8" s="167"/>
      <c r="F8" s="10"/>
      <c r="G8" s="10"/>
      <c r="H8" s="10"/>
    </row>
    <row r="9" spans="1:8" x14ac:dyDescent="0.3">
      <c r="A9" s="8" t="s">
        <v>4</v>
      </c>
      <c r="B9" s="1" t="s">
        <v>69</v>
      </c>
      <c r="C9" s="1" t="s">
        <v>73</v>
      </c>
      <c r="D9" s="1"/>
      <c r="E9" s="4"/>
      <c r="F9" s="10"/>
      <c r="G9" s="148" t="s">
        <v>290</v>
      </c>
      <c r="H9" s="21"/>
    </row>
    <row r="10" spans="1:8" x14ac:dyDescent="0.3">
      <c r="A10" s="8" t="s">
        <v>10</v>
      </c>
      <c r="B10" s="2">
        <v>35.53</v>
      </c>
      <c r="C10" s="2">
        <v>38.130000000000003</v>
      </c>
      <c r="D10" s="2"/>
      <c r="E10" s="2"/>
      <c r="F10" s="10"/>
      <c r="G10" s="10">
        <f>AVERAGE(B15:C15)</f>
        <v>40.570528218284132</v>
      </c>
      <c r="H10" s="21"/>
    </row>
    <row r="11" spans="1:8" x14ac:dyDescent="0.3">
      <c r="A11" s="8" t="s">
        <v>11</v>
      </c>
      <c r="B11" s="2">
        <v>159.72999999999999</v>
      </c>
      <c r="C11" s="2">
        <v>210.88</v>
      </c>
      <c r="D11" s="2"/>
      <c r="E11" s="2"/>
      <c r="F11" s="10"/>
      <c r="G11" s="10"/>
      <c r="H11" s="12"/>
    </row>
    <row r="12" spans="1:8" x14ac:dyDescent="0.3">
      <c r="A12" s="8" t="s">
        <v>12</v>
      </c>
      <c r="B12" s="2">
        <v>95.4</v>
      </c>
      <c r="C12" s="2">
        <v>124.7</v>
      </c>
      <c r="D12" s="2"/>
      <c r="E12" s="5"/>
      <c r="F12" s="10"/>
      <c r="G12" s="10"/>
      <c r="H12" s="12"/>
    </row>
    <row r="13" spans="1:8" x14ac:dyDescent="0.3">
      <c r="A13" s="8" t="s">
        <v>13</v>
      </c>
      <c r="B13" s="2">
        <f>B11-B12</f>
        <v>64.329999999999984</v>
      </c>
      <c r="C13" s="2">
        <f>C11-C12</f>
        <v>86.179999999999993</v>
      </c>
      <c r="D13" s="2"/>
      <c r="E13" s="2"/>
      <c r="F13" s="10"/>
      <c r="G13" s="10"/>
      <c r="H13" s="12"/>
    </row>
    <row r="14" spans="1:8" x14ac:dyDescent="0.3">
      <c r="A14" s="8" t="s">
        <v>14</v>
      </c>
      <c r="B14" s="2">
        <f>B12-B10</f>
        <v>59.870000000000005</v>
      </c>
      <c r="C14" s="2">
        <f>C12-C10</f>
        <v>86.57</v>
      </c>
      <c r="D14" s="2"/>
      <c r="E14" s="2"/>
      <c r="F14" s="10"/>
      <c r="G14" s="10"/>
      <c r="H14" s="12"/>
    </row>
    <row r="15" spans="1:8" ht="15" thickBot="1" x14ac:dyDescent="0.35">
      <c r="A15" s="9" t="s">
        <v>15</v>
      </c>
      <c r="B15" s="6">
        <f>((B11-B12)*100)/B11</f>
        <v>40.274212733988598</v>
      </c>
      <c r="C15" s="6">
        <f>((C11-C12)*100)/C11</f>
        <v>40.866843702579665</v>
      </c>
      <c r="D15" s="6">
        <f>(B14/(B11-B10))*100</f>
        <v>48.204508856682779</v>
      </c>
      <c r="E15" s="6">
        <f>(C14/(C11-C10))*100</f>
        <v>50.112879884225755</v>
      </c>
      <c r="F15" s="10"/>
      <c r="G15" s="10">
        <f>AVERAGE(D15:E15)</f>
        <v>49.15869437045427</v>
      </c>
      <c r="H15" s="12"/>
    </row>
    <row r="16" spans="1:8" x14ac:dyDescent="0.3">
      <c r="B16" s="12"/>
      <c r="C16" s="12"/>
      <c r="D16" s="12"/>
      <c r="E16" s="12"/>
      <c r="F16" s="10"/>
      <c r="G16" s="10"/>
      <c r="H16" s="12"/>
    </row>
    <row r="17" spans="1:8" x14ac:dyDescent="0.3">
      <c r="A17" s="11" t="s">
        <v>20</v>
      </c>
      <c r="B17" t="s">
        <v>67</v>
      </c>
      <c r="F17" s="10"/>
      <c r="G17" s="10"/>
      <c r="H17" s="12"/>
    </row>
    <row r="18" spans="1:8" ht="15" thickBot="1" x14ac:dyDescent="0.35">
      <c r="F18" s="10"/>
      <c r="G18" s="10"/>
      <c r="H18" s="12"/>
    </row>
    <row r="19" spans="1:8" x14ac:dyDescent="0.3">
      <c r="A19" s="163" t="s">
        <v>3</v>
      </c>
      <c r="B19" s="164"/>
      <c r="C19" s="164"/>
      <c r="D19" s="164"/>
      <c r="E19" s="165"/>
      <c r="F19" s="10"/>
      <c r="G19" s="10"/>
      <c r="H19" s="21"/>
    </row>
    <row r="20" spans="1:8" x14ac:dyDescent="0.3">
      <c r="A20" s="3"/>
      <c r="B20" s="166" t="s">
        <v>8</v>
      </c>
      <c r="C20" s="166"/>
      <c r="D20" s="166"/>
      <c r="E20" s="167"/>
      <c r="H20" s="12"/>
    </row>
    <row r="21" spans="1:8" x14ac:dyDescent="0.3">
      <c r="A21" s="8" t="s">
        <v>4</v>
      </c>
      <c r="B21" s="1" t="s">
        <v>29</v>
      </c>
      <c r="C21" s="1" t="s">
        <v>78</v>
      </c>
      <c r="D21" s="1"/>
      <c r="E21" s="4"/>
      <c r="G21" s="148" t="s">
        <v>290</v>
      </c>
      <c r="H21" s="12"/>
    </row>
    <row r="22" spans="1:8" x14ac:dyDescent="0.3">
      <c r="A22" s="8" t="s">
        <v>10</v>
      </c>
      <c r="B22" s="2">
        <v>34.200000000000003</v>
      </c>
      <c r="C22" s="2">
        <v>34.92</v>
      </c>
      <c r="D22" s="2"/>
      <c r="E22" s="2"/>
      <c r="G22" s="10">
        <f>AVERAGE(B27:C27)</f>
        <v>39.152761132031706</v>
      </c>
    </row>
    <row r="23" spans="1:8" x14ac:dyDescent="0.3">
      <c r="A23" s="8" t="s">
        <v>11</v>
      </c>
      <c r="B23" s="2">
        <v>288.05</v>
      </c>
      <c r="C23" s="2">
        <v>325.94</v>
      </c>
      <c r="D23" s="2"/>
      <c r="E23" s="2"/>
    </row>
    <row r="24" spans="1:8" x14ac:dyDescent="0.3">
      <c r="A24" s="8" t="s">
        <v>12</v>
      </c>
      <c r="B24" s="2">
        <v>176</v>
      </c>
      <c r="C24" s="2">
        <v>197.5</v>
      </c>
      <c r="D24" s="2"/>
      <c r="E24" s="5"/>
    </row>
    <row r="25" spans="1:8" x14ac:dyDescent="0.3">
      <c r="A25" s="8" t="s">
        <v>13</v>
      </c>
      <c r="B25" s="2">
        <f>B23-B24</f>
        <v>112.05000000000001</v>
      </c>
      <c r="C25" s="2">
        <f>C23-C24</f>
        <v>128.44</v>
      </c>
      <c r="D25" s="2"/>
      <c r="E25" s="2"/>
    </row>
    <row r="26" spans="1:8" x14ac:dyDescent="0.3">
      <c r="A26" s="8" t="s">
        <v>14</v>
      </c>
      <c r="B26" s="2">
        <f>B24-B22</f>
        <v>141.80000000000001</v>
      </c>
      <c r="C26" s="2">
        <f>C24-C22</f>
        <v>162.57999999999998</v>
      </c>
      <c r="D26" s="2"/>
      <c r="E26" s="2"/>
    </row>
    <row r="27" spans="1:8" ht="15" thickBot="1" x14ac:dyDescent="0.35">
      <c r="A27" s="9" t="s">
        <v>15</v>
      </c>
      <c r="B27" s="6">
        <f>((B23-B24)*100)/B23</f>
        <v>38.899496615170982</v>
      </c>
      <c r="C27" s="6">
        <f>((C23-C24)*100)/C23</f>
        <v>39.406025648892431</v>
      </c>
      <c r="D27" s="6"/>
      <c r="E27" s="6"/>
    </row>
    <row r="28" spans="1:8" x14ac:dyDescent="0.3">
      <c r="B28" s="12"/>
      <c r="C28" s="12"/>
      <c r="D28" s="12"/>
      <c r="E28" s="12"/>
    </row>
    <row r="29" spans="1:8" x14ac:dyDescent="0.3">
      <c r="B29" s="10"/>
      <c r="C29" s="10"/>
      <c r="D29" s="10"/>
      <c r="E29" s="10"/>
    </row>
    <row r="30" spans="1:8" x14ac:dyDescent="0.3">
      <c r="A30" s="11" t="s">
        <v>21</v>
      </c>
      <c r="B30" t="s">
        <v>17</v>
      </c>
    </row>
    <row r="31" spans="1:8" ht="15" thickBot="1" x14ac:dyDescent="0.35"/>
    <row r="32" spans="1:8" x14ac:dyDescent="0.3">
      <c r="A32" s="163" t="s">
        <v>3</v>
      </c>
      <c r="B32" s="164"/>
      <c r="C32" s="164"/>
      <c r="D32" s="164"/>
      <c r="E32" s="165"/>
      <c r="G32" s="148" t="s">
        <v>290</v>
      </c>
    </row>
    <row r="33" spans="1:7" x14ac:dyDescent="0.3">
      <c r="A33" s="3"/>
      <c r="B33" s="166" t="s">
        <v>8</v>
      </c>
      <c r="C33" s="166"/>
      <c r="D33" s="166" t="s">
        <v>9</v>
      </c>
      <c r="E33" s="167"/>
      <c r="G33" s="10">
        <f>AVERAGE(B40:E40)</f>
        <v>27.222447854563299</v>
      </c>
    </row>
    <row r="34" spans="1:7" x14ac:dyDescent="0.3">
      <c r="A34" s="8" t="s">
        <v>4</v>
      </c>
      <c r="B34" s="1" t="s">
        <v>18</v>
      </c>
      <c r="C34" s="1" t="s">
        <v>19</v>
      </c>
      <c r="D34" s="1" t="s">
        <v>18</v>
      </c>
      <c r="E34" s="4" t="s">
        <v>19</v>
      </c>
    </row>
    <row r="35" spans="1:7" x14ac:dyDescent="0.3">
      <c r="A35" s="8" t="s">
        <v>10</v>
      </c>
      <c r="B35" s="2">
        <v>41.57</v>
      </c>
      <c r="C35" s="2">
        <v>43.15</v>
      </c>
      <c r="D35" s="2">
        <v>41.57</v>
      </c>
      <c r="E35" s="2">
        <v>43.15</v>
      </c>
    </row>
    <row r="36" spans="1:7" x14ac:dyDescent="0.3">
      <c r="A36" s="8" t="s">
        <v>11</v>
      </c>
      <c r="B36" s="2">
        <v>289.12</v>
      </c>
      <c r="C36" s="2">
        <v>271.60000000000002</v>
      </c>
      <c r="D36" s="2">
        <v>289.12</v>
      </c>
      <c r="E36" s="2">
        <v>271.60000000000002</v>
      </c>
    </row>
    <row r="37" spans="1:7" x14ac:dyDescent="0.3">
      <c r="A37" s="8" t="s">
        <v>12</v>
      </c>
      <c r="B37" s="2">
        <v>209.55</v>
      </c>
      <c r="C37" s="2">
        <v>199.09</v>
      </c>
      <c r="D37" s="2">
        <v>208.86</v>
      </c>
      <c r="E37" s="5">
        <v>198.51</v>
      </c>
    </row>
    <row r="38" spans="1:7" x14ac:dyDescent="0.3">
      <c r="A38" s="8" t="s">
        <v>13</v>
      </c>
      <c r="B38" s="2">
        <f>B36-B37</f>
        <v>79.569999999999993</v>
      </c>
      <c r="C38" s="2">
        <f>C36-C37</f>
        <v>72.510000000000019</v>
      </c>
      <c r="D38" s="2">
        <f>D36-D37</f>
        <v>80.259999999999991</v>
      </c>
      <c r="E38" s="2">
        <f>E36-E37</f>
        <v>73.090000000000032</v>
      </c>
    </row>
    <row r="39" spans="1:7" x14ac:dyDescent="0.3">
      <c r="A39" s="8" t="s">
        <v>14</v>
      </c>
      <c r="B39" s="2">
        <f>B37-B35</f>
        <v>167.98000000000002</v>
      </c>
      <c r="C39" s="2">
        <f>C37-C35</f>
        <v>155.94</v>
      </c>
      <c r="D39" s="2">
        <f>D37-D35</f>
        <v>167.29000000000002</v>
      </c>
      <c r="E39" s="2">
        <f>E37-E35</f>
        <v>155.35999999999999</v>
      </c>
    </row>
    <row r="40" spans="1:7" ht="15" thickBot="1" x14ac:dyDescent="0.35">
      <c r="A40" s="9" t="s">
        <v>15</v>
      </c>
      <c r="B40" s="6">
        <f>((B36-B37)*100)/B36</f>
        <v>27.52144438295517</v>
      </c>
      <c r="C40" s="6">
        <f>((C36-C37)*100)/C36</f>
        <v>26.69734904270987</v>
      </c>
      <c r="D40" s="6">
        <f>((D36-D37)*100)/D36</f>
        <v>27.760099612617594</v>
      </c>
      <c r="E40" s="6">
        <f>((E36-E37)*100)/E36</f>
        <v>26.910898379970558</v>
      </c>
    </row>
    <row r="41" spans="1:7" x14ac:dyDescent="0.3">
      <c r="A41" s="13"/>
      <c r="B41" s="12"/>
      <c r="C41" s="12"/>
      <c r="D41" s="12"/>
      <c r="E41" s="12"/>
    </row>
    <row r="42" spans="1:7" x14ac:dyDescent="0.3">
      <c r="A42" s="11" t="s">
        <v>25</v>
      </c>
      <c r="B42" t="s">
        <v>2</v>
      </c>
    </row>
    <row r="43" spans="1:7" ht="15" thickBot="1" x14ac:dyDescent="0.35"/>
    <row r="44" spans="1:7" x14ac:dyDescent="0.3">
      <c r="A44" s="163" t="s">
        <v>3</v>
      </c>
      <c r="B44" s="164"/>
      <c r="C44" s="164"/>
      <c r="D44" s="164"/>
      <c r="E44" s="165"/>
      <c r="G44" s="148" t="s">
        <v>290</v>
      </c>
    </row>
    <row r="45" spans="1:7" x14ac:dyDescent="0.3">
      <c r="A45" s="3"/>
      <c r="B45" s="166" t="s">
        <v>8</v>
      </c>
      <c r="C45" s="166"/>
      <c r="D45" s="166" t="s">
        <v>9</v>
      </c>
      <c r="E45" s="167"/>
      <c r="G45" s="10">
        <f>AVERAGE(B52:E52)</f>
        <v>40.530999153191523</v>
      </c>
    </row>
    <row r="46" spans="1:7" x14ac:dyDescent="0.3">
      <c r="A46" s="8" t="s">
        <v>4</v>
      </c>
      <c r="B46" s="1" t="s">
        <v>5</v>
      </c>
      <c r="C46" s="1" t="s">
        <v>6</v>
      </c>
      <c r="D46" s="1" t="s">
        <v>5</v>
      </c>
      <c r="E46" s="4" t="s">
        <v>6</v>
      </c>
    </row>
    <row r="47" spans="1:7" x14ac:dyDescent="0.3">
      <c r="A47" s="8" t="s">
        <v>10</v>
      </c>
      <c r="B47" s="2">
        <v>32.659999999999997</v>
      </c>
      <c r="C47" s="2">
        <v>31.01</v>
      </c>
      <c r="D47" s="2">
        <v>32.659999999999997</v>
      </c>
      <c r="E47" s="2">
        <v>31.01</v>
      </c>
    </row>
    <row r="48" spans="1:7" x14ac:dyDescent="0.3">
      <c r="A48" s="8" t="s">
        <v>11</v>
      </c>
      <c r="B48" s="2">
        <v>254.75</v>
      </c>
      <c r="C48" s="2">
        <v>224.65</v>
      </c>
      <c r="D48" s="2">
        <v>254.75</v>
      </c>
      <c r="E48" s="2">
        <v>224.65</v>
      </c>
    </row>
    <row r="49" spans="1:7" x14ac:dyDescent="0.3">
      <c r="A49" s="8" t="s">
        <v>12</v>
      </c>
      <c r="B49" s="2">
        <v>151.32</v>
      </c>
      <c r="C49" s="2">
        <v>134.38</v>
      </c>
      <c r="D49" s="2">
        <v>150.5</v>
      </c>
      <c r="E49" s="5">
        <v>133.85</v>
      </c>
    </row>
    <row r="50" spans="1:7" x14ac:dyDescent="0.3">
      <c r="A50" s="8" t="s">
        <v>13</v>
      </c>
      <c r="B50" s="2">
        <f>B48-B49</f>
        <v>103.43</v>
      </c>
      <c r="C50" s="2">
        <f>C48-C49</f>
        <v>90.27000000000001</v>
      </c>
      <c r="D50" s="2">
        <f>D48-D49</f>
        <v>104.25</v>
      </c>
      <c r="E50" s="2">
        <f>E48-E49</f>
        <v>90.800000000000011</v>
      </c>
    </row>
    <row r="51" spans="1:7" x14ac:dyDescent="0.3">
      <c r="A51" s="8" t="s">
        <v>14</v>
      </c>
      <c r="B51" s="2">
        <f>B49-B47</f>
        <v>118.66</v>
      </c>
      <c r="C51" s="2">
        <f>C49-C47</f>
        <v>103.36999999999999</v>
      </c>
      <c r="D51" s="2">
        <f>D49-D47</f>
        <v>117.84</v>
      </c>
      <c r="E51" s="2">
        <f>E49-E47</f>
        <v>102.83999999999999</v>
      </c>
    </row>
    <row r="52" spans="1:7" ht="15" thickBot="1" x14ac:dyDescent="0.35">
      <c r="A52" s="9" t="s">
        <v>15</v>
      </c>
      <c r="B52" s="6">
        <f>((B48-B49)*100)/B48</f>
        <v>40.600588812561334</v>
      </c>
      <c r="C52" s="6">
        <f>((C48-C49)*100)/C48</f>
        <v>40.182506120632098</v>
      </c>
      <c r="D52" s="6">
        <f>((D48-D49)*100)/D48</f>
        <v>40.922473012757607</v>
      </c>
      <c r="E52" s="6">
        <f>((E48-E49)*100)/E48</f>
        <v>40.418428666815053</v>
      </c>
    </row>
    <row r="54" spans="1:7" x14ac:dyDescent="0.3">
      <c r="A54" s="11" t="s">
        <v>27</v>
      </c>
      <c r="B54" t="s">
        <v>22</v>
      </c>
    </row>
    <row r="55" spans="1:7" ht="15" thickBot="1" x14ac:dyDescent="0.35"/>
    <row r="56" spans="1:7" x14ac:dyDescent="0.3">
      <c r="A56" s="163" t="s">
        <v>3</v>
      </c>
      <c r="B56" s="164"/>
      <c r="C56" s="164"/>
      <c r="D56" s="164"/>
      <c r="E56" s="165"/>
      <c r="G56" s="148" t="s">
        <v>290</v>
      </c>
    </row>
    <row r="57" spans="1:7" x14ac:dyDescent="0.3">
      <c r="A57" s="3"/>
      <c r="B57" s="166" t="s">
        <v>8</v>
      </c>
      <c r="C57" s="166"/>
      <c r="D57" s="166" t="s">
        <v>9</v>
      </c>
      <c r="E57" s="167"/>
      <c r="G57" s="10">
        <f>AVERAGE(B64:E64)</f>
        <v>33.446593049192067</v>
      </c>
    </row>
    <row r="58" spans="1:7" x14ac:dyDescent="0.3">
      <c r="A58" s="8" t="s">
        <v>4</v>
      </c>
      <c r="B58" s="1">
        <v>51</v>
      </c>
      <c r="C58" s="1" t="s">
        <v>23</v>
      </c>
      <c r="D58" s="1">
        <v>51</v>
      </c>
      <c r="E58" s="4" t="s">
        <v>23</v>
      </c>
    </row>
    <row r="59" spans="1:7" x14ac:dyDescent="0.3">
      <c r="A59" s="8" t="s">
        <v>10</v>
      </c>
      <c r="B59" s="2">
        <v>30.34</v>
      </c>
      <c r="C59" s="2">
        <v>45.23</v>
      </c>
      <c r="D59" s="2">
        <v>30.34</v>
      </c>
      <c r="E59" s="2">
        <v>45.23</v>
      </c>
    </row>
    <row r="60" spans="1:7" x14ac:dyDescent="0.3">
      <c r="A60" s="8" t="s">
        <v>11</v>
      </c>
      <c r="B60" s="2">
        <v>296.07</v>
      </c>
      <c r="C60" s="2">
        <v>367.18</v>
      </c>
      <c r="D60" s="2">
        <v>296.07</v>
      </c>
      <c r="E60" s="2">
        <v>367.18</v>
      </c>
    </row>
    <row r="61" spans="1:7" x14ac:dyDescent="0.3">
      <c r="A61" s="8" t="s">
        <v>12</v>
      </c>
      <c r="B61" s="2">
        <v>197.61</v>
      </c>
      <c r="C61" s="2">
        <v>244.95</v>
      </c>
      <c r="D61" s="2">
        <v>196.4</v>
      </c>
      <c r="E61" s="5">
        <v>243.89</v>
      </c>
    </row>
    <row r="62" spans="1:7" x14ac:dyDescent="0.3">
      <c r="A62" s="8" t="s">
        <v>13</v>
      </c>
      <c r="B62" s="2">
        <f>B60-B61</f>
        <v>98.45999999999998</v>
      </c>
      <c r="C62" s="2">
        <f>C60-C61</f>
        <v>122.23000000000002</v>
      </c>
      <c r="D62" s="2">
        <f>D60-D61</f>
        <v>99.669999999999987</v>
      </c>
      <c r="E62" s="2">
        <f>E60-E61</f>
        <v>123.29000000000002</v>
      </c>
    </row>
    <row r="63" spans="1:7" x14ac:dyDescent="0.3">
      <c r="A63" s="8" t="s">
        <v>14</v>
      </c>
      <c r="B63" s="2">
        <f>B61-B59</f>
        <v>167.27</v>
      </c>
      <c r="C63" s="2">
        <f>C61-C59</f>
        <v>199.72</v>
      </c>
      <c r="D63" s="2">
        <f>D61-D59</f>
        <v>166.06</v>
      </c>
      <c r="E63" s="2">
        <f>E61-E59</f>
        <v>198.66</v>
      </c>
    </row>
    <row r="64" spans="1:7" ht="15" thickBot="1" x14ac:dyDescent="0.35">
      <c r="A64" s="9" t="s">
        <v>15</v>
      </c>
      <c r="B64" s="6">
        <f>((B60-B61)*100)/B60</f>
        <v>33.255649001925214</v>
      </c>
      <c r="C64" s="6">
        <f>((C60-C61)*100)/C60</f>
        <v>33.28885015523722</v>
      </c>
      <c r="D64" s="6">
        <f>((D60-D61)*100)/D60</f>
        <v>33.664336136724415</v>
      </c>
      <c r="E64" s="6">
        <f>((E60-E61)*100)/E60</f>
        <v>33.577536902881427</v>
      </c>
    </row>
    <row r="67" spans="1:7" x14ac:dyDescent="0.3">
      <c r="A67" s="11" t="s">
        <v>30</v>
      </c>
      <c r="B67" t="s">
        <v>24</v>
      </c>
    </row>
    <row r="68" spans="1:7" ht="15" thickBot="1" x14ac:dyDescent="0.35"/>
    <row r="69" spans="1:7" x14ac:dyDescent="0.3">
      <c r="A69" s="163" t="s">
        <v>3</v>
      </c>
      <c r="B69" s="164"/>
      <c r="C69" s="164"/>
      <c r="D69" s="164"/>
      <c r="E69" s="165"/>
      <c r="G69" s="148" t="s">
        <v>290</v>
      </c>
    </row>
    <row r="70" spans="1:7" x14ac:dyDescent="0.3">
      <c r="A70" s="3"/>
      <c r="B70" s="166" t="s">
        <v>8</v>
      </c>
      <c r="C70" s="166"/>
      <c r="D70" s="166" t="s">
        <v>9</v>
      </c>
      <c r="E70" s="167"/>
      <c r="G70" s="10">
        <f>AVERAGE(B77:E77)</f>
        <v>43.078161023227885</v>
      </c>
    </row>
    <row r="71" spans="1:7" x14ac:dyDescent="0.3">
      <c r="A71" s="8" t="s">
        <v>4</v>
      </c>
      <c r="B71" s="1">
        <v>16</v>
      </c>
      <c r="C71" s="1" t="s">
        <v>26</v>
      </c>
      <c r="D71" s="1">
        <v>16</v>
      </c>
      <c r="E71" s="4" t="s">
        <v>26</v>
      </c>
    </row>
    <row r="72" spans="1:7" x14ac:dyDescent="0.3">
      <c r="A72" s="8" t="s">
        <v>10</v>
      </c>
      <c r="B72" s="2">
        <v>31.02</v>
      </c>
      <c r="C72" s="2">
        <v>34.69</v>
      </c>
      <c r="D72" s="2">
        <v>31.02</v>
      </c>
      <c r="E72" s="2">
        <v>34.69</v>
      </c>
    </row>
    <row r="73" spans="1:7" x14ac:dyDescent="0.3">
      <c r="A73" s="8" t="s">
        <v>11</v>
      </c>
      <c r="B73" s="2">
        <v>162.36000000000001</v>
      </c>
      <c r="C73" s="2">
        <v>164.93</v>
      </c>
      <c r="D73" s="2">
        <v>162.36000000000001</v>
      </c>
      <c r="E73" s="2">
        <v>164.93</v>
      </c>
    </row>
    <row r="74" spans="1:7" x14ac:dyDescent="0.3">
      <c r="A74" s="8" t="s">
        <v>12</v>
      </c>
      <c r="B74" s="2">
        <v>93.18</v>
      </c>
      <c r="C74" s="2">
        <v>94.95</v>
      </c>
      <c r="D74" s="2">
        <v>90.96</v>
      </c>
      <c r="E74" s="5">
        <v>93.52</v>
      </c>
    </row>
    <row r="75" spans="1:7" x14ac:dyDescent="0.3">
      <c r="A75" s="8" t="s">
        <v>13</v>
      </c>
      <c r="B75" s="2">
        <f>B73-B74</f>
        <v>69.180000000000007</v>
      </c>
      <c r="C75" s="2">
        <f>C73-C74</f>
        <v>69.98</v>
      </c>
      <c r="D75" s="2">
        <f>D73-D74</f>
        <v>71.40000000000002</v>
      </c>
      <c r="E75" s="2">
        <f>E73-E74</f>
        <v>71.410000000000011</v>
      </c>
    </row>
    <row r="76" spans="1:7" x14ac:dyDescent="0.3">
      <c r="A76" s="8" t="s">
        <v>14</v>
      </c>
      <c r="B76" s="2">
        <f>B74-B72</f>
        <v>62.160000000000011</v>
      </c>
      <c r="C76" s="2">
        <f>C74-C72</f>
        <v>60.260000000000005</v>
      </c>
      <c r="D76" s="2">
        <f>D74-D72</f>
        <v>59.94</v>
      </c>
      <c r="E76" s="2">
        <f>E74-E72</f>
        <v>58.83</v>
      </c>
    </row>
    <row r="77" spans="1:7" ht="15" thickBot="1" x14ac:dyDescent="0.35">
      <c r="A77" s="9" t="s">
        <v>15</v>
      </c>
      <c r="B77" s="6">
        <f>((B73-B74)*100)/B73</f>
        <v>42.609016999260902</v>
      </c>
      <c r="C77" s="6">
        <f>((C73-C74)*100)/C73</f>
        <v>42.430121869884189</v>
      </c>
      <c r="D77" s="6">
        <f>((D73-D74)*100)/D73</f>
        <v>43.976348854397642</v>
      </c>
      <c r="E77" s="6">
        <f>((E73-E74)*100)/E73</f>
        <v>43.297156369368828</v>
      </c>
    </row>
    <row r="79" spans="1:7" x14ac:dyDescent="0.3">
      <c r="A79" s="11" t="s">
        <v>81</v>
      </c>
      <c r="B79" t="s">
        <v>28</v>
      </c>
    </row>
    <row r="80" spans="1:7" ht="15" thickBot="1" x14ac:dyDescent="0.35"/>
    <row r="81" spans="1:7" x14ac:dyDescent="0.3">
      <c r="A81" s="163" t="s">
        <v>3</v>
      </c>
      <c r="B81" s="164"/>
      <c r="C81" s="164"/>
      <c r="D81" s="164"/>
      <c r="E81" s="165"/>
      <c r="G81" s="148" t="s">
        <v>290</v>
      </c>
    </row>
    <row r="82" spans="1:7" x14ac:dyDescent="0.3">
      <c r="A82" s="3"/>
      <c r="B82" s="166" t="s">
        <v>8</v>
      </c>
      <c r="C82" s="166"/>
      <c r="D82" s="166" t="s">
        <v>9</v>
      </c>
      <c r="E82" s="167"/>
      <c r="G82" s="10">
        <f>AVERAGE(B89:E89)</f>
        <v>44.750773715827123</v>
      </c>
    </row>
    <row r="83" spans="1:7" x14ac:dyDescent="0.3">
      <c r="A83" s="8" t="s">
        <v>4</v>
      </c>
      <c r="B83" s="1" t="s">
        <v>29</v>
      </c>
      <c r="C83" s="1">
        <v>19</v>
      </c>
      <c r="D83" s="1" t="s">
        <v>29</v>
      </c>
      <c r="E83" s="4">
        <v>19</v>
      </c>
    </row>
    <row r="84" spans="1:7" x14ac:dyDescent="0.3">
      <c r="A84" s="8" t="s">
        <v>10</v>
      </c>
      <c r="B84" s="2">
        <v>34.32</v>
      </c>
      <c r="C84" s="2">
        <v>26.43</v>
      </c>
      <c r="D84" s="2">
        <v>34.32</v>
      </c>
      <c r="E84" s="2">
        <v>26.43</v>
      </c>
    </row>
    <row r="85" spans="1:7" x14ac:dyDescent="0.3">
      <c r="A85" s="8" t="s">
        <v>11</v>
      </c>
      <c r="B85" s="2">
        <v>192.09</v>
      </c>
      <c r="C85" s="2">
        <v>166.73</v>
      </c>
      <c r="D85" s="2">
        <v>192.09</v>
      </c>
      <c r="E85" s="2">
        <v>166.73</v>
      </c>
    </row>
    <row r="86" spans="1:7" x14ac:dyDescent="0.3">
      <c r="A86" s="8" t="s">
        <v>12</v>
      </c>
      <c r="B86" s="2">
        <v>108.41</v>
      </c>
      <c r="C86" s="2">
        <v>93.19</v>
      </c>
      <c r="D86" s="2">
        <v>105.13</v>
      </c>
      <c r="E86" s="5">
        <v>89.93</v>
      </c>
    </row>
    <row r="87" spans="1:7" x14ac:dyDescent="0.3">
      <c r="A87" s="8" t="s">
        <v>13</v>
      </c>
      <c r="B87" s="2">
        <f>B85-B86</f>
        <v>83.68</v>
      </c>
      <c r="C87" s="2">
        <f>C85-C86</f>
        <v>73.539999999999992</v>
      </c>
      <c r="D87" s="2">
        <f>D85-D86</f>
        <v>86.960000000000008</v>
      </c>
      <c r="E87" s="2">
        <f>E85-E86</f>
        <v>76.799999999999983</v>
      </c>
    </row>
    <row r="88" spans="1:7" x14ac:dyDescent="0.3">
      <c r="A88" s="8" t="s">
        <v>14</v>
      </c>
      <c r="B88" s="2">
        <f>B86-B84</f>
        <v>74.09</v>
      </c>
      <c r="C88" s="2">
        <f>C86-C84</f>
        <v>66.759999999999991</v>
      </c>
      <c r="D88" s="2">
        <f>D86-D84</f>
        <v>70.81</v>
      </c>
      <c r="E88" s="2">
        <f>E86-E84</f>
        <v>63.500000000000007</v>
      </c>
    </row>
    <row r="89" spans="1:7" ht="15" thickBot="1" x14ac:dyDescent="0.35">
      <c r="A89" s="9" t="s">
        <v>15</v>
      </c>
      <c r="B89" s="6">
        <f>((B85-B86)*100)/B85</f>
        <v>43.562913217762507</v>
      </c>
      <c r="C89" s="6">
        <f>((C85-C86)*100)/C85</f>
        <v>44.107239249085346</v>
      </c>
      <c r="D89" s="6">
        <f>((D85-D86)*100)/D85</f>
        <v>45.270446145036182</v>
      </c>
      <c r="E89" s="6">
        <f>((E85-E86)*100)/E85</f>
        <v>46.062496251424449</v>
      </c>
    </row>
    <row r="91" spans="1:7" x14ac:dyDescent="0.3">
      <c r="A91" s="11" t="s">
        <v>84</v>
      </c>
      <c r="B91" t="s">
        <v>31</v>
      </c>
    </row>
    <row r="92" spans="1:7" ht="15" thickBot="1" x14ac:dyDescent="0.35"/>
    <row r="93" spans="1:7" x14ac:dyDescent="0.3">
      <c r="A93" s="163" t="s">
        <v>3</v>
      </c>
      <c r="B93" s="164"/>
      <c r="C93" s="164"/>
      <c r="D93" s="164"/>
      <c r="E93" s="165"/>
      <c r="G93" s="148" t="s">
        <v>290</v>
      </c>
    </row>
    <row r="94" spans="1:7" x14ac:dyDescent="0.3">
      <c r="A94" s="3"/>
      <c r="B94" s="166" t="s">
        <v>8</v>
      </c>
      <c r="C94" s="166"/>
      <c r="D94" s="166" t="s">
        <v>9</v>
      </c>
      <c r="E94" s="167"/>
      <c r="G94" s="10">
        <f>AVERAGE(B101:E101)</f>
        <v>43.553420412025638</v>
      </c>
    </row>
    <row r="95" spans="1:7" x14ac:dyDescent="0.3">
      <c r="A95" s="8" t="s">
        <v>4</v>
      </c>
      <c r="B95" s="1" t="s">
        <v>32</v>
      </c>
      <c r="C95" s="1" t="s">
        <v>33</v>
      </c>
      <c r="D95" s="1" t="s">
        <v>32</v>
      </c>
      <c r="E95" s="4" t="s">
        <v>33</v>
      </c>
    </row>
    <row r="96" spans="1:7" x14ac:dyDescent="0.3">
      <c r="A96" s="8" t="s">
        <v>10</v>
      </c>
      <c r="B96" s="2">
        <v>33.520000000000003</v>
      </c>
      <c r="C96" s="2">
        <v>29.5</v>
      </c>
      <c r="D96" s="2">
        <v>33.520000000000003</v>
      </c>
      <c r="E96" s="2">
        <v>29.5</v>
      </c>
    </row>
    <row r="97" spans="1:5" x14ac:dyDescent="0.3">
      <c r="A97" s="8" t="s">
        <v>11</v>
      </c>
      <c r="B97" s="2">
        <v>306.68</v>
      </c>
      <c r="C97" s="2">
        <v>288.16000000000003</v>
      </c>
      <c r="D97" s="2">
        <v>306.68</v>
      </c>
      <c r="E97" s="2">
        <v>288.16000000000003</v>
      </c>
    </row>
    <row r="98" spans="1:5" x14ac:dyDescent="0.3">
      <c r="A98" s="8" t="s">
        <v>12</v>
      </c>
      <c r="B98" s="2">
        <v>178.56</v>
      </c>
      <c r="C98" s="2">
        <v>169.01</v>
      </c>
      <c r="D98" s="2">
        <v>167.6</v>
      </c>
      <c r="E98" s="5">
        <v>156.36000000000001</v>
      </c>
    </row>
    <row r="99" spans="1:5" x14ac:dyDescent="0.3">
      <c r="A99" s="8" t="s">
        <v>13</v>
      </c>
      <c r="B99" s="2">
        <f>B97-B98</f>
        <v>128.12</v>
      </c>
      <c r="C99" s="2">
        <f>C97-C98</f>
        <v>119.15000000000003</v>
      </c>
      <c r="D99" s="2">
        <f>D97-D98</f>
        <v>139.08000000000001</v>
      </c>
      <c r="E99" s="2">
        <f>E97-E98</f>
        <v>131.80000000000001</v>
      </c>
    </row>
    <row r="100" spans="1:5" x14ac:dyDescent="0.3">
      <c r="A100" s="8" t="s">
        <v>14</v>
      </c>
      <c r="B100" s="2">
        <f>B98-B96</f>
        <v>145.04</v>
      </c>
      <c r="C100" s="2">
        <f>C98-C96</f>
        <v>139.51</v>
      </c>
      <c r="D100" s="2">
        <f>D98-D96</f>
        <v>134.07999999999998</v>
      </c>
      <c r="E100" s="2">
        <f>E98-E96</f>
        <v>126.86000000000001</v>
      </c>
    </row>
    <row r="101" spans="1:5" ht="15" thickBot="1" x14ac:dyDescent="0.35">
      <c r="A101" s="9" t="s">
        <v>15</v>
      </c>
      <c r="B101" s="6">
        <f>((B97-B98)*100)/B97</f>
        <v>41.776444502412936</v>
      </c>
      <c r="C101" s="6">
        <f>((C97-C98)*100)/C97</f>
        <v>41.348556357579135</v>
      </c>
      <c r="D101" s="6">
        <f>((D97-D98)*100)/D97</f>
        <v>45.350202165123264</v>
      </c>
      <c r="E101" s="6">
        <f>((E97-E98)*100)/E97</f>
        <v>45.73847862298723</v>
      </c>
    </row>
  </sheetData>
  <mergeCells count="26">
    <mergeCell ref="A19:E19"/>
    <mergeCell ref="B2:H2"/>
    <mergeCell ref="B3:H3"/>
    <mergeCell ref="A7:E7"/>
    <mergeCell ref="B8:C8"/>
    <mergeCell ref="D8:E8"/>
    <mergeCell ref="A69:E69"/>
    <mergeCell ref="B20:C20"/>
    <mergeCell ref="D20:E20"/>
    <mergeCell ref="A32:E32"/>
    <mergeCell ref="B33:C33"/>
    <mergeCell ref="D33:E33"/>
    <mergeCell ref="A44:E44"/>
    <mergeCell ref="B45:C45"/>
    <mergeCell ref="D45:E45"/>
    <mergeCell ref="A56:E56"/>
    <mergeCell ref="B57:C57"/>
    <mergeCell ref="D57:E57"/>
    <mergeCell ref="B94:C94"/>
    <mergeCell ref="D94:E94"/>
    <mergeCell ref="B70:C70"/>
    <mergeCell ref="D70:E70"/>
    <mergeCell ref="A81:E81"/>
    <mergeCell ref="B82:C82"/>
    <mergeCell ref="D82:E82"/>
    <mergeCell ref="A93:E9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29911-8712-46E7-9689-CAB760811B03}">
  <dimension ref="A2:L101"/>
  <sheetViews>
    <sheetView topLeftCell="A79" zoomScaleNormal="100" workbookViewId="0">
      <selection activeCell="K47" sqref="K47"/>
    </sheetView>
  </sheetViews>
  <sheetFormatPr defaultRowHeight="14.4" x14ac:dyDescent="0.3"/>
  <cols>
    <col min="1" max="1" width="21.6640625" customWidth="1"/>
    <col min="2" max="2" width="8" customWidth="1"/>
    <col min="7" max="7" width="11.5546875" bestFit="1" customWidth="1"/>
  </cols>
  <sheetData>
    <row r="2" spans="1:8" ht="63.6" customHeight="1" x14ac:dyDescent="0.3">
      <c r="A2" s="14" t="s">
        <v>0</v>
      </c>
      <c r="B2" s="168" t="s">
        <v>1</v>
      </c>
      <c r="C2" s="168"/>
      <c r="D2" s="168"/>
      <c r="E2" s="168"/>
      <c r="F2" s="168"/>
      <c r="G2" s="168"/>
      <c r="H2" s="168"/>
    </row>
    <row r="3" spans="1:8" x14ac:dyDescent="0.3">
      <c r="A3" s="15" t="s">
        <v>7</v>
      </c>
      <c r="B3" s="169" t="s">
        <v>34</v>
      </c>
      <c r="C3" s="170"/>
      <c r="D3" s="170"/>
      <c r="E3" s="170"/>
      <c r="F3" s="170"/>
      <c r="G3" s="170"/>
      <c r="H3" s="171"/>
    </row>
    <row r="4" spans="1:8" x14ac:dyDescent="0.3">
      <c r="A4" s="25"/>
      <c r="B4" s="21"/>
      <c r="C4" s="21"/>
      <c r="D4" s="21"/>
      <c r="E4" s="21"/>
      <c r="F4" s="21"/>
      <c r="G4" s="21"/>
      <c r="H4" s="21"/>
    </row>
    <row r="5" spans="1:8" x14ac:dyDescent="0.3">
      <c r="A5" s="11" t="s">
        <v>16</v>
      </c>
      <c r="B5" t="s">
        <v>58</v>
      </c>
      <c r="F5" s="10"/>
      <c r="G5" s="10"/>
      <c r="H5" s="10"/>
    </row>
    <row r="6" spans="1:8" ht="15" thickBot="1" x14ac:dyDescent="0.35">
      <c r="F6" s="10"/>
      <c r="G6" s="10"/>
      <c r="H6" s="10"/>
    </row>
    <row r="7" spans="1:8" x14ac:dyDescent="0.3">
      <c r="A7" s="163" t="s">
        <v>3</v>
      </c>
      <c r="B7" s="164"/>
      <c r="C7" s="164"/>
      <c r="D7" s="164"/>
      <c r="E7" s="165"/>
      <c r="F7" s="10"/>
      <c r="G7" s="10"/>
      <c r="H7" s="10"/>
    </row>
    <row r="8" spans="1:8" x14ac:dyDescent="0.3">
      <c r="A8" s="3"/>
      <c r="B8" s="166" t="s">
        <v>8</v>
      </c>
      <c r="C8" s="166"/>
      <c r="D8" s="166" t="s">
        <v>308</v>
      </c>
      <c r="E8" s="167"/>
      <c r="F8" s="10"/>
      <c r="G8" s="10"/>
      <c r="H8" s="10"/>
    </row>
    <row r="9" spans="1:8" x14ac:dyDescent="0.3">
      <c r="A9" s="8" t="s">
        <v>4</v>
      </c>
      <c r="B9" s="1" t="s">
        <v>69</v>
      </c>
      <c r="C9" s="1" t="s">
        <v>73</v>
      </c>
      <c r="D9" s="1"/>
      <c r="E9" s="4"/>
      <c r="F9" s="10"/>
      <c r="G9" s="148" t="s">
        <v>290</v>
      </c>
      <c r="H9" s="21"/>
    </row>
    <row r="10" spans="1:8" x14ac:dyDescent="0.3">
      <c r="A10" s="8" t="s">
        <v>10</v>
      </c>
      <c r="B10" s="2">
        <v>35.53</v>
      </c>
      <c r="C10" s="2">
        <v>38.130000000000003</v>
      </c>
      <c r="D10" s="2"/>
      <c r="E10" s="2"/>
      <c r="F10" s="10"/>
      <c r="G10" s="10">
        <f>AVERAGE(B15:C15)</f>
        <v>103.49948568824536</v>
      </c>
      <c r="H10" s="21"/>
    </row>
    <row r="11" spans="1:8" x14ac:dyDescent="0.3">
      <c r="A11" s="8" t="s">
        <v>11</v>
      </c>
      <c r="B11" s="2">
        <v>159.72999999999999</v>
      </c>
      <c r="C11" s="2">
        <v>210.88</v>
      </c>
      <c r="D11" s="2"/>
      <c r="E11" s="2"/>
      <c r="F11" s="10"/>
      <c r="G11" s="10"/>
      <c r="H11" s="12"/>
    </row>
    <row r="12" spans="1:8" x14ac:dyDescent="0.3">
      <c r="A12" s="8" t="s">
        <v>12</v>
      </c>
      <c r="B12" s="2">
        <v>95.4</v>
      </c>
      <c r="C12" s="2">
        <v>124.7</v>
      </c>
      <c r="D12" s="2"/>
      <c r="E12" s="5"/>
      <c r="F12" s="10"/>
      <c r="G12" s="10"/>
      <c r="H12" s="12"/>
    </row>
    <row r="13" spans="1:8" x14ac:dyDescent="0.3">
      <c r="A13" s="8" t="s">
        <v>13</v>
      </c>
      <c r="B13" s="2">
        <f>B11-B12</f>
        <v>64.329999999999984</v>
      </c>
      <c r="C13" s="2">
        <f>C11-C12</f>
        <v>86.179999999999993</v>
      </c>
      <c r="D13" s="2"/>
      <c r="E13" s="2"/>
      <c r="F13" s="10"/>
      <c r="G13" s="10"/>
      <c r="H13" s="12"/>
    </row>
    <row r="14" spans="1:8" x14ac:dyDescent="0.3">
      <c r="A14" s="8" t="s">
        <v>14</v>
      </c>
      <c r="B14" s="2">
        <f>B12-B10</f>
        <v>59.870000000000005</v>
      </c>
      <c r="C14" s="2">
        <f>C12-C10</f>
        <v>86.57</v>
      </c>
      <c r="D14" s="2"/>
      <c r="E14" s="2"/>
      <c r="F14" s="10"/>
      <c r="G14" s="10"/>
      <c r="H14" s="12"/>
    </row>
    <row r="15" spans="1:8" ht="15" thickBot="1" x14ac:dyDescent="0.35">
      <c r="A15" s="9" t="s">
        <v>15</v>
      </c>
      <c r="B15" s="6">
        <f>(B13/(B14))*100</f>
        <v>107.44947386003003</v>
      </c>
      <c r="C15" s="6">
        <f>(C13/(C14))*100</f>
        <v>99.549497516460676</v>
      </c>
      <c r="D15" s="6">
        <f>(B14/(B11-B10))*100</f>
        <v>48.204508856682779</v>
      </c>
      <c r="E15" s="6">
        <f>(C14/(C11-C10))*100</f>
        <v>50.112879884225755</v>
      </c>
      <c r="F15" s="10"/>
      <c r="G15" s="10">
        <f>AVERAGE(D15:E15)</f>
        <v>49.15869437045427</v>
      </c>
      <c r="H15" s="12"/>
    </row>
    <row r="16" spans="1:8" x14ac:dyDescent="0.3">
      <c r="B16" s="12"/>
      <c r="C16" s="12"/>
      <c r="D16" s="12"/>
      <c r="E16" s="12"/>
      <c r="F16" s="10"/>
      <c r="G16" s="10"/>
      <c r="H16" s="12"/>
    </row>
    <row r="17" spans="1:8" x14ac:dyDescent="0.3">
      <c r="A17" s="11" t="s">
        <v>20</v>
      </c>
      <c r="B17" t="s">
        <v>67</v>
      </c>
      <c r="F17" s="10"/>
      <c r="G17" s="10"/>
      <c r="H17" s="12"/>
    </row>
    <row r="18" spans="1:8" ht="15" thickBot="1" x14ac:dyDescent="0.35">
      <c r="F18" s="10"/>
      <c r="G18" s="10"/>
      <c r="H18" s="12"/>
    </row>
    <row r="19" spans="1:8" x14ac:dyDescent="0.3">
      <c r="A19" s="163" t="s">
        <v>3</v>
      </c>
      <c r="B19" s="164"/>
      <c r="C19" s="164"/>
      <c r="D19" s="164"/>
      <c r="E19" s="165"/>
      <c r="F19" s="10"/>
      <c r="G19" s="10"/>
      <c r="H19" s="21"/>
    </row>
    <row r="20" spans="1:8" x14ac:dyDescent="0.3">
      <c r="A20" s="3"/>
      <c r="B20" s="166" t="s">
        <v>8</v>
      </c>
      <c r="C20" s="166"/>
      <c r="D20" s="166"/>
      <c r="E20" s="167"/>
      <c r="H20" s="12"/>
    </row>
    <row r="21" spans="1:8" x14ac:dyDescent="0.3">
      <c r="A21" s="8" t="s">
        <v>4</v>
      </c>
      <c r="B21" s="1" t="s">
        <v>29</v>
      </c>
      <c r="C21" s="1" t="s">
        <v>78</v>
      </c>
      <c r="D21" s="1"/>
      <c r="E21" s="4"/>
      <c r="G21" s="148" t="s">
        <v>290</v>
      </c>
      <c r="H21" s="12"/>
    </row>
    <row r="22" spans="1:8" x14ac:dyDescent="0.3">
      <c r="A22" s="8" t="s">
        <v>10</v>
      </c>
      <c r="B22" s="2">
        <v>34.200000000000003</v>
      </c>
      <c r="C22" s="2">
        <v>34.92</v>
      </c>
      <c r="D22" s="2"/>
      <c r="E22" s="2"/>
      <c r="G22" s="10">
        <f>AVERAGE(B27:C27)</f>
        <v>79.010426634274097</v>
      </c>
    </row>
    <row r="23" spans="1:8" x14ac:dyDescent="0.3">
      <c r="A23" s="8" t="s">
        <v>11</v>
      </c>
      <c r="B23" s="2">
        <v>288.05</v>
      </c>
      <c r="C23" s="2">
        <v>325.94</v>
      </c>
      <c r="D23" s="2"/>
      <c r="E23" s="2"/>
    </row>
    <row r="24" spans="1:8" x14ac:dyDescent="0.3">
      <c r="A24" s="8" t="s">
        <v>12</v>
      </c>
      <c r="B24" s="2">
        <v>176</v>
      </c>
      <c r="C24" s="2">
        <v>197.5</v>
      </c>
      <c r="D24" s="2"/>
      <c r="E24" s="5"/>
    </row>
    <row r="25" spans="1:8" x14ac:dyDescent="0.3">
      <c r="A25" s="8" t="s">
        <v>13</v>
      </c>
      <c r="B25" s="2">
        <f>B23-B24</f>
        <v>112.05000000000001</v>
      </c>
      <c r="C25" s="2">
        <f>C23-C24</f>
        <v>128.44</v>
      </c>
      <c r="D25" s="2"/>
      <c r="E25" s="2"/>
    </row>
    <row r="26" spans="1:8" x14ac:dyDescent="0.3">
      <c r="A26" s="8" t="s">
        <v>14</v>
      </c>
      <c r="B26" s="2">
        <f>B24-B22</f>
        <v>141.80000000000001</v>
      </c>
      <c r="C26" s="2">
        <f>C24-C22</f>
        <v>162.57999999999998</v>
      </c>
      <c r="D26" s="2"/>
      <c r="E26" s="2"/>
    </row>
    <row r="27" spans="1:8" ht="15" thickBot="1" x14ac:dyDescent="0.35">
      <c r="A27" s="9" t="s">
        <v>15</v>
      </c>
      <c r="B27" s="6">
        <f>(B25/(B26))*100</f>
        <v>79.019746121297601</v>
      </c>
      <c r="C27" s="6">
        <f>(C25/(C26))*100</f>
        <v>79.001107147250593</v>
      </c>
      <c r="D27" s="6">
        <f>(B26/(B23-B22))*100</f>
        <v>55.859759700610603</v>
      </c>
      <c r="E27" s="6">
        <f>(C26/(C23-C22))*100</f>
        <v>55.865576249055046</v>
      </c>
      <c r="G27" s="10">
        <f>AVERAGE(D27:E27)</f>
        <v>55.862667974832824</v>
      </c>
    </row>
    <row r="28" spans="1:8" x14ac:dyDescent="0.3">
      <c r="B28" s="12"/>
      <c r="C28" s="12"/>
      <c r="D28" s="12"/>
      <c r="E28" s="12"/>
    </row>
    <row r="29" spans="1:8" x14ac:dyDescent="0.3">
      <c r="B29" s="10"/>
      <c r="C29" s="10"/>
      <c r="D29" s="10"/>
      <c r="E29" s="10"/>
    </row>
    <row r="30" spans="1:8" x14ac:dyDescent="0.3">
      <c r="A30" s="11" t="s">
        <v>21</v>
      </c>
      <c r="B30" t="s">
        <v>17</v>
      </c>
    </row>
    <row r="31" spans="1:8" ht="15" thickBot="1" x14ac:dyDescent="0.35"/>
    <row r="32" spans="1:8" x14ac:dyDescent="0.3">
      <c r="A32" s="163" t="s">
        <v>3</v>
      </c>
      <c r="B32" s="164"/>
      <c r="C32" s="164"/>
      <c r="D32" s="164"/>
      <c r="E32" s="165"/>
      <c r="G32" s="148" t="s">
        <v>290</v>
      </c>
    </row>
    <row r="33" spans="1:12" x14ac:dyDescent="0.3">
      <c r="A33" s="3"/>
      <c r="B33" s="166" t="s">
        <v>8</v>
      </c>
      <c r="C33" s="166"/>
      <c r="D33" s="166" t="s">
        <v>9</v>
      </c>
      <c r="E33" s="167"/>
      <c r="G33" s="10">
        <f>AVERAGE(B40:E40)</f>
        <v>47.222381728518869</v>
      </c>
    </row>
    <row r="34" spans="1:12" x14ac:dyDescent="0.3">
      <c r="A34" s="8" t="s">
        <v>4</v>
      </c>
      <c r="B34" s="1" t="s">
        <v>18</v>
      </c>
      <c r="C34" s="1" t="s">
        <v>19</v>
      </c>
      <c r="D34" s="1" t="s">
        <v>18</v>
      </c>
      <c r="E34" s="4" t="s">
        <v>19</v>
      </c>
    </row>
    <row r="35" spans="1:12" x14ac:dyDescent="0.3">
      <c r="A35" s="8" t="s">
        <v>10</v>
      </c>
      <c r="B35" s="2">
        <v>41.57</v>
      </c>
      <c r="C35" s="2">
        <v>43.15</v>
      </c>
      <c r="D35" s="2">
        <v>41.57</v>
      </c>
      <c r="E35" s="2">
        <v>43.15</v>
      </c>
    </row>
    <row r="36" spans="1:12" x14ac:dyDescent="0.3">
      <c r="A36" s="8" t="s">
        <v>11</v>
      </c>
      <c r="B36" s="2">
        <v>289.12</v>
      </c>
      <c r="C36" s="2">
        <v>271.60000000000002</v>
      </c>
      <c r="D36" s="2">
        <v>289.12</v>
      </c>
      <c r="E36" s="2">
        <v>271.60000000000002</v>
      </c>
    </row>
    <row r="37" spans="1:12" x14ac:dyDescent="0.3">
      <c r="A37" s="8" t="s">
        <v>12</v>
      </c>
      <c r="B37" s="2">
        <v>209.55</v>
      </c>
      <c r="C37" s="2">
        <v>199.09</v>
      </c>
      <c r="D37" s="2">
        <v>208.86</v>
      </c>
      <c r="E37" s="5">
        <v>198.51</v>
      </c>
    </row>
    <row r="38" spans="1:12" x14ac:dyDescent="0.3">
      <c r="A38" s="8" t="s">
        <v>13</v>
      </c>
      <c r="B38" s="2">
        <f>B36-B37</f>
        <v>79.569999999999993</v>
      </c>
      <c r="C38" s="2">
        <f>C36-C37</f>
        <v>72.510000000000019</v>
      </c>
      <c r="D38" s="2">
        <f>D36-D37</f>
        <v>80.259999999999991</v>
      </c>
      <c r="E38" s="2">
        <f>E36-E37</f>
        <v>73.090000000000032</v>
      </c>
    </row>
    <row r="39" spans="1:12" x14ac:dyDescent="0.3">
      <c r="A39" s="8" t="s">
        <v>14</v>
      </c>
      <c r="B39" s="2">
        <f>B37-B35</f>
        <v>167.98000000000002</v>
      </c>
      <c r="C39" s="2">
        <f>C37-C35</f>
        <v>155.94</v>
      </c>
      <c r="D39" s="2">
        <f>D37-D35</f>
        <v>167.29000000000002</v>
      </c>
      <c r="E39" s="2">
        <f>E37-E35</f>
        <v>155.35999999999999</v>
      </c>
    </row>
    <row r="40" spans="1:12" ht="15" thickBot="1" x14ac:dyDescent="0.35">
      <c r="A40" s="9" t="s">
        <v>15</v>
      </c>
      <c r="B40" s="6">
        <f>(B38/(B39))*100</f>
        <v>47.368734373139645</v>
      </c>
      <c r="C40" s="6">
        <f t="shared" ref="C40:E40" si="0">(C38/(C39))*100</f>
        <v>46.498653328203169</v>
      </c>
      <c r="D40" s="6">
        <f t="shared" si="0"/>
        <v>47.976567637037469</v>
      </c>
      <c r="E40" s="6">
        <f t="shared" si="0"/>
        <v>47.045571575695185</v>
      </c>
      <c r="G40" s="10">
        <f>AVERAGE(I40:L40)</f>
        <v>67.925351747630174</v>
      </c>
      <c r="I40" s="6">
        <f>(B39/(B36-B35))*100</f>
        <v>67.856998586144215</v>
      </c>
      <c r="J40" s="6">
        <f t="shared" ref="J40:L40" si="1">(C39/(C36-C35))*100</f>
        <v>68.260013131976365</v>
      </c>
      <c r="K40" s="6">
        <f t="shared" si="1"/>
        <v>67.578267016764286</v>
      </c>
      <c r="L40" s="6">
        <f t="shared" si="1"/>
        <v>68.006128255635801</v>
      </c>
    </row>
    <row r="41" spans="1:12" x14ac:dyDescent="0.3">
      <c r="A41" s="13"/>
      <c r="B41" s="12"/>
      <c r="C41" s="12"/>
      <c r="D41" s="12"/>
      <c r="E41" s="12"/>
    </row>
    <row r="42" spans="1:12" x14ac:dyDescent="0.3">
      <c r="A42" s="11" t="s">
        <v>25</v>
      </c>
      <c r="B42" t="s">
        <v>2</v>
      </c>
    </row>
    <row r="43" spans="1:12" ht="15" thickBot="1" x14ac:dyDescent="0.35"/>
    <row r="44" spans="1:12" x14ac:dyDescent="0.3">
      <c r="A44" s="163" t="s">
        <v>3</v>
      </c>
      <c r="B44" s="164"/>
      <c r="C44" s="164"/>
      <c r="D44" s="164"/>
      <c r="E44" s="165"/>
      <c r="G44" s="148" t="s">
        <v>290</v>
      </c>
    </row>
    <row r="45" spans="1:12" x14ac:dyDescent="0.3">
      <c r="A45" s="3"/>
      <c r="B45" s="166" t="s">
        <v>8</v>
      </c>
      <c r="C45" s="166"/>
      <c r="D45" s="166" t="s">
        <v>9</v>
      </c>
      <c r="E45" s="167"/>
      <c r="G45" s="10">
        <f>AVERAGE(B52:E52)</f>
        <v>87.812998348520509</v>
      </c>
    </row>
    <row r="46" spans="1:12" x14ac:dyDescent="0.3">
      <c r="A46" s="8" t="s">
        <v>4</v>
      </c>
      <c r="B46" s="1" t="s">
        <v>5</v>
      </c>
      <c r="C46" s="1" t="s">
        <v>6</v>
      </c>
      <c r="D46" s="1" t="s">
        <v>5</v>
      </c>
      <c r="E46" s="4" t="s">
        <v>6</v>
      </c>
    </row>
    <row r="47" spans="1:12" x14ac:dyDescent="0.3">
      <c r="A47" s="8" t="s">
        <v>10</v>
      </c>
      <c r="B47" s="2">
        <v>32.659999999999997</v>
      </c>
      <c r="C47" s="2">
        <v>31.01</v>
      </c>
      <c r="D47" s="2">
        <v>32.659999999999997</v>
      </c>
      <c r="E47" s="2">
        <v>31.01</v>
      </c>
    </row>
    <row r="48" spans="1:12" x14ac:dyDescent="0.3">
      <c r="A48" s="8" t="s">
        <v>11</v>
      </c>
      <c r="B48" s="2">
        <v>254.75</v>
      </c>
      <c r="C48" s="2">
        <v>224.65</v>
      </c>
      <c r="D48" s="2">
        <v>254.75</v>
      </c>
      <c r="E48" s="2">
        <v>224.65</v>
      </c>
    </row>
    <row r="49" spans="1:12" x14ac:dyDescent="0.3">
      <c r="A49" s="8" t="s">
        <v>12</v>
      </c>
      <c r="B49" s="2">
        <v>151.32</v>
      </c>
      <c r="C49" s="2">
        <v>134.38</v>
      </c>
      <c r="D49" s="2">
        <v>150.5</v>
      </c>
      <c r="E49" s="5">
        <v>133.85</v>
      </c>
    </row>
    <row r="50" spans="1:12" x14ac:dyDescent="0.3">
      <c r="A50" s="8" t="s">
        <v>13</v>
      </c>
      <c r="B50" s="2">
        <f>B48-B49</f>
        <v>103.43</v>
      </c>
      <c r="C50" s="2">
        <f>C48-C49</f>
        <v>90.27000000000001</v>
      </c>
      <c r="D50" s="2">
        <f>D48-D49</f>
        <v>104.25</v>
      </c>
      <c r="E50" s="2">
        <f>E48-E49</f>
        <v>90.800000000000011</v>
      </c>
    </row>
    <row r="51" spans="1:12" x14ac:dyDescent="0.3">
      <c r="A51" s="8" t="s">
        <v>14</v>
      </c>
      <c r="B51" s="2">
        <f>B49-B47</f>
        <v>118.66</v>
      </c>
      <c r="C51" s="2">
        <f>C49-C47</f>
        <v>103.36999999999999</v>
      </c>
      <c r="D51" s="2">
        <f>D49-D47</f>
        <v>117.84</v>
      </c>
      <c r="E51" s="2">
        <f>E49-E47</f>
        <v>102.83999999999999</v>
      </c>
    </row>
    <row r="52" spans="1:12" ht="15" thickBot="1" x14ac:dyDescent="0.35">
      <c r="A52" s="9" t="s">
        <v>15</v>
      </c>
      <c r="B52" s="6">
        <f>(B50/(B51))*100</f>
        <v>87.165009270183731</v>
      </c>
      <c r="C52" s="6">
        <f t="shared" ref="C52:E52" si="2">(C50/(C51))*100</f>
        <v>87.32707748863308</v>
      </c>
      <c r="D52" s="6">
        <f t="shared" si="2"/>
        <v>88.467413441955188</v>
      </c>
      <c r="E52" s="6">
        <f t="shared" si="2"/>
        <v>88.292493193310023</v>
      </c>
      <c r="G52" s="10">
        <f>AVERAGE(I52:L52)</f>
        <v>53.244946991394187</v>
      </c>
      <c r="I52" s="6">
        <f>(B51/(B48-B47))*100</f>
        <v>53.428790130127425</v>
      </c>
      <c r="J52" s="6">
        <f t="shared" ref="J52" si="3">(C51/(C48-C47))*100</f>
        <v>53.3825655856228</v>
      </c>
      <c r="K52" s="6">
        <f t="shared" ref="K52" si="4">(D51/(D48-D47))*100</f>
        <v>53.059570444414426</v>
      </c>
      <c r="L52" s="6">
        <f t="shared" ref="L52" si="5">(E51/(E48-E47))*100</f>
        <v>53.108861805412097</v>
      </c>
    </row>
    <row r="54" spans="1:12" x14ac:dyDescent="0.3">
      <c r="A54" s="11" t="s">
        <v>27</v>
      </c>
      <c r="B54" t="s">
        <v>22</v>
      </c>
    </row>
    <row r="55" spans="1:12" ht="15" thickBot="1" x14ac:dyDescent="0.35"/>
    <row r="56" spans="1:12" x14ac:dyDescent="0.3">
      <c r="A56" s="163" t="s">
        <v>3</v>
      </c>
      <c r="B56" s="164"/>
      <c r="C56" s="164"/>
      <c r="D56" s="164"/>
      <c r="E56" s="165"/>
      <c r="G56" s="148" t="s">
        <v>290</v>
      </c>
    </row>
    <row r="57" spans="1:12" x14ac:dyDescent="0.3">
      <c r="A57" s="3"/>
      <c r="B57" s="166" t="s">
        <v>8</v>
      </c>
      <c r="C57" s="166"/>
      <c r="D57" s="166" t="s">
        <v>9</v>
      </c>
      <c r="E57" s="167"/>
      <c r="G57" s="10">
        <f>AVERAGE(B64:E64)</f>
        <v>60.536219783364544</v>
      </c>
    </row>
    <row r="58" spans="1:12" x14ac:dyDescent="0.3">
      <c r="A58" s="8" t="s">
        <v>4</v>
      </c>
      <c r="B58" s="1">
        <v>51</v>
      </c>
      <c r="C58" s="1" t="s">
        <v>23</v>
      </c>
      <c r="D58" s="1">
        <v>51</v>
      </c>
      <c r="E58" s="4" t="s">
        <v>23</v>
      </c>
    </row>
    <row r="59" spans="1:12" x14ac:dyDescent="0.3">
      <c r="A59" s="8" t="s">
        <v>10</v>
      </c>
      <c r="B59" s="2">
        <v>30.34</v>
      </c>
      <c r="C59" s="2">
        <v>45.23</v>
      </c>
      <c r="D59" s="2">
        <v>30.34</v>
      </c>
      <c r="E59" s="2">
        <v>45.23</v>
      </c>
    </row>
    <row r="60" spans="1:12" x14ac:dyDescent="0.3">
      <c r="A60" s="8" t="s">
        <v>11</v>
      </c>
      <c r="B60" s="2">
        <v>296.07</v>
      </c>
      <c r="C60" s="2">
        <v>367.18</v>
      </c>
      <c r="D60" s="2">
        <v>296.07</v>
      </c>
      <c r="E60" s="2">
        <v>367.18</v>
      </c>
    </row>
    <row r="61" spans="1:12" x14ac:dyDescent="0.3">
      <c r="A61" s="8" t="s">
        <v>12</v>
      </c>
      <c r="B61" s="2">
        <v>197.61</v>
      </c>
      <c r="C61" s="2">
        <v>244.95</v>
      </c>
      <c r="D61" s="2">
        <v>196.4</v>
      </c>
      <c r="E61" s="5">
        <v>243.89</v>
      </c>
    </row>
    <row r="62" spans="1:12" x14ac:dyDescent="0.3">
      <c r="A62" s="8" t="s">
        <v>13</v>
      </c>
      <c r="B62" s="2">
        <f>B60-B61</f>
        <v>98.45999999999998</v>
      </c>
      <c r="C62" s="2">
        <f>C60-C61</f>
        <v>122.23000000000002</v>
      </c>
      <c r="D62" s="2">
        <f>D60-D61</f>
        <v>99.669999999999987</v>
      </c>
      <c r="E62" s="2">
        <f>E60-E61</f>
        <v>123.29000000000002</v>
      </c>
    </row>
    <row r="63" spans="1:12" x14ac:dyDescent="0.3">
      <c r="A63" s="8" t="s">
        <v>14</v>
      </c>
      <c r="B63" s="2">
        <f>B61-B59</f>
        <v>167.27</v>
      </c>
      <c r="C63" s="2">
        <f>C61-C59</f>
        <v>199.72</v>
      </c>
      <c r="D63" s="2">
        <f>D61-D59</f>
        <v>166.06</v>
      </c>
      <c r="E63" s="2">
        <f>E61-E59</f>
        <v>198.66</v>
      </c>
    </row>
    <row r="64" spans="1:12" ht="15" thickBot="1" x14ac:dyDescent="0.35">
      <c r="A64" s="9" t="s">
        <v>15</v>
      </c>
      <c r="B64" s="6">
        <f>(B62/(B63))*100</f>
        <v>58.862916243199606</v>
      </c>
      <c r="C64" s="6">
        <f t="shared" ref="C64:E64" si="6">(C62/(C63))*100</f>
        <v>61.200680953334675</v>
      </c>
      <c r="D64" s="6">
        <f t="shared" si="6"/>
        <v>60.020474527279291</v>
      </c>
      <c r="E64" s="6">
        <f t="shared" si="6"/>
        <v>62.060807409644624</v>
      </c>
      <c r="G64" s="10">
        <f>AVERAGE(I64:L64)</f>
        <v>62.294766718073937</v>
      </c>
      <c r="I64" s="6">
        <f>(B63/(B60-B59))*100</f>
        <v>62.947352575922935</v>
      </c>
      <c r="J64" s="6">
        <f t="shared" ref="J64" si="7">(C63/(C60-C59))*100</f>
        <v>62.034477403323493</v>
      </c>
      <c r="K64" s="6">
        <f t="shared" ref="K64" si="8">(D63/(D60-D59))*100</f>
        <v>62.492003161103369</v>
      </c>
      <c r="L64" s="6">
        <f t="shared" ref="L64" si="9">(E63/(E60-E59))*100</f>
        <v>61.705233731945953</v>
      </c>
    </row>
    <row r="67" spans="1:12" x14ac:dyDescent="0.3">
      <c r="A67" s="11" t="s">
        <v>30</v>
      </c>
      <c r="B67" t="s">
        <v>24</v>
      </c>
    </row>
    <row r="68" spans="1:12" ht="15" thickBot="1" x14ac:dyDescent="0.35"/>
    <row r="69" spans="1:12" x14ac:dyDescent="0.3">
      <c r="A69" s="163" t="s">
        <v>3</v>
      </c>
      <c r="B69" s="164"/>
      <c r="C69" s="164"/>
      <c r="D69" s="164"/>
      <c r="E69" s="165"/>
      <c r="G69" s="148" t="s">
        <v>290</v>
      </c>
    </row>
    <row r="70" spans="1:12" x14ac:dyDescent="0.3">
      <c r="A70" s="3"/>
      <c r="B70" s="166" t="s">
        <v>8</v>
      </c>
      <c r="C70" s="166"/>
      <c r="D70" s="166" t="s">
        <v>9</v>
      </c>
      <c r="E70" s="167"/>
      <c r="G70" s="10">
        <f>AVERAGE(B77:E77)</f>
        <v>116.98157652469629</v>
      </c>
    </row>
    <row r="71" spans="1:12" x14ac:dyDescent="0.3">
      <c r="A71" s="8" t="s">
        <v>4</v>
      </c>
      <c r="B71" s="1">
        <v>16</v>
      </c>
      <c r="C71" s="1" t="s">
        <v>26</v>
      </c>
      <c r="D71" s="1">
        <v>16</v>
      </c>
      <c r="E71" s="4" t="s">
        <v>26</v>
      </c>
    </row>
    <row r="72" spans="1:12" x14ac:dyDescent="0.3">
      <c r="A72" s="8" t="s">
        <v>10</v>
      </c>
      <c r="B72" s="2">
        <v>31.02</v>
      </c>
      <c r="C72" s="2">
        <v>34.69</v>
      </c>
      <c r="D72" s="2">
        <v>31.02</v>
      </c>
      <c r="E72" s="2">
        <v>34.69</v>
      </c>
    </row>
    <row r="73" spans="1:12" x14ac:dyDescent="0.3">
      <c r="A73" s="8" t="s">
        <v>11</v>
      </c>
      <c r="B73" s="2">
        <v>162.36000000000001</v>
      </c>
      <c r="C73" s="2">
        <v>164.93</v>
      </c>
      <c r="D73" s="2">
        <v>162.36000000000001</v>
      </c>
      <c r="E73" s="2">
        <v>164.93</v>
      </c>
    </row>
    <row r="74" spans="1:12" x14ac:dyDescent="0.3">
      <c r="A74" s="8" t="s">
        <v>12</v>
      </c>
      <c r="B74" s="2">
        <v>93.18</v>
      </c>
      <c r="C74" s="2">
        <v>94.95</v>
      </c>
      <c r="D74" s="2">
        <v>90.96</v>
      </c>
      <c r="E74" s="5">
        <v>93.52</v>
      </c>
    </row>
    <row r="75" spans="1:12" x14ac:dyDescent="0.3">
      <c r="A75" s="8" t="s">
        <v>13</v>
      </c>
      <c r="B75" s="2">
        <f>B73-B74</f>
        <v>69.180000000000007</v>
      </c>
      <c r="C75" s="2">
        <f>C73-C74</f>
        <v>69.98</v>
      </c>
      <c r="D75" s="2">
        <f>D73-D74</f>
        <v>71.40000000000002</v>
      </c>
      <c r="E75" s="2">
        <f>E73-E74</f>
        <v>71.410000000000011</v>
      </c>
    </row>
    <row r="76" spans="1:12" x14ac:dyDescent="0.3">
      <c r="A76" s="8" t="s">
        <v>14</v>
      </c>
      <c r="B76" s="2">
        <f>B74-B72</f>
        <v>62.160000000000011</v>
      </c>
      <c r="C76" s="2">
        <f>C74-C72</f>
        <v>60.260000000000005</v>
      </c>
      <c r="D76" s="2">
        <f>D74-D72</f>
        <v>59.94</v>
      </c>
      <c r="E76" s="2">
        <f>E74-E72</f>
        <v>58.83</v>
      </c>
    </row>
    <row r="77" spans="1:12" ht="15" thickBot="1" x14ac:dyDescent="0.35">
      <c r="A77" s="9" t="s">
        <v>15</v>
      </c>
      <c r="B77" s="6">
        <f>(B75/(B76))*100</f>
        <v>111.29343629343629</v>
      </c>
      <c r="C77" s="6">
        <f t="shared" ref="C77:E77" si="10">(C75/(C76))*100</f>
        <v>116.13010288748755</v>
      </c>
      <c r="D77" s="6">
        <f t="shared" si="10"/>
        <v>119.11911911911916</v>
      </c>
      <c r="E77" s="6">
        <f t="shared" si="10"/>
        <v>121.38364779874216</v>
      </c>
      <c r="G77" s="10">
        <f>AVERAGE(I77:L77)</f>
        <v>46.100926546121265</v>
      </c>
      <c r="I77" s="6">
        <f>(B76/(B73-B72))*100</f>
        <v>47.327546825034268</v>
      </c>
      <c r="J77" s="6">
        <f t="shared" ref="J77" si="11">(C76/(C73-C72))*100</f>
        <v>46.268427518427515</v>
      </c>
      <c r="K77" s="6">
        <f t="shared" ref="K77" si="12">(D76/(D73-D72))*100</f>
        <v>45.637277295568751</v>
      </c>
      <c r="L77" s="6">
        <f t="shared" ref="L77" si="13">(E76/(E73-E72))*100</f>
        <v>45.17045454545454</v>
      </c>
    </row>
    <row r="79" spans="1:12" x14ac:dyDescent="0.3">
      <c r="A79" s="11" t="s">
        <v>81</v>
      </c>
      <c r="B79" t="s">
        <v>28</v>
      </c>
    </row>
    <row r="80" spans="1:12" ht="15" thickBot="1" x14ac:dyDescent="0.35"/>
    <row r="81" spans="1:12" x14ac:dyDescent="0.3">
      <c r="A81" s="163" t="s">
        <v>3</v>
      </c>
      <c r="B81" s="164"/>
      <c r="C81" s="164"/>
      <c r="D81" s="164"/>
      <c r="E81" s="165"/>
      <c r="G81" s="148" t="s">
        <v>290</v>
      </c>
    </row>
    <row r="82" spans="1:12" x14ac:dyDescent="0.3">
      <c r="A82" s="3"/>
      <c r="B82" s="166" t="s">
        <v>8</v>
      </c>
      <c r="C82" s="166"/>
      <c r="D82" s="166" t="s">
        <v>9</v>
      </c>
      <c r="E82" s="167"/>
      <c r="G82" s="10">
        <f>AVERAGE(B89:E89)</f>
        <v>116.71297348976158</v>
      </c>
    </row>
    <row r="83" spans="1:12" x14ac:dyDescent="0.3">
      <c r="A83" s="8" t="s">
        <v>4</v>
      </c>
      <c r="B83" s="1" t="s">
        <v>29</v>
      </c>
      <c r="C83" s="1">
        <v>19</v>
      </c>
      <c r="D83" s="1" t="s">
        <v>29</v>
      </c>
      <c r="E83" s="4">
        <v>19</v>
      </c>
    </row>
    <row r="84" spans="1:12" x14ac:dyDescent="0.3">
      <c r="A84" s="8" t="s">
        <v>10</v>
      </c>
      <c r="B84" s="2">
        <v>34.32</v>
      </c>
      <c r="C84" s="2">
        <v>26.43</v>
      </c>
      <c r="D84" s="2">
        <v>34.32</v>
      </c>
      <c r="E84" s="2">
        <v>26.43</v>
      </c>
    </row>
    <row r="85" spans="1:12" x14ac:dyDescent="0.3">
      <c r="A85" s="8" t="s">
        <v>11</v>
      </c>
      <c r="B85" s="2">
        <v>192.09</v>
      </c>
      <c r="C85" s="2">
        <v>166.73</v>
      </c>
      <c r="D85" s="2">
        <v>192.09</v>
      </c>
      <c r="E85" s="2">
        <v>166.73</v>
      </c>
    </row>
    <row r="86" spans="1:12" x14ac:dyDescent="0.3">
      <c r="A86" s="8" t="s">
        <v>12</v>
      </c>
      <c r="B86" s="2">
        <v>108.41</v>
      </c>
      <c r="C86" s="2">
        <v>93.19</v>
      </c>
      <c r="D86" s="2">
        <v>105.13</v>
      </c>
      <c r="E86" s="5">
        <v>89.93</v>
      </c>
    </row>
    <row r="87" spans="1:12" x14ac:dyDescent="0.3">
      <c r="A87" s="8" t="s">
        <v>13</v>
      </c>
      <c r="B87" s="2">
        <f>B85-B86</f>
        <v>83.68</v>
      </c>
      <c r="C87" s="2">
        <f>C85-C86</f>
        <v>73.539999999999992</v>
      </c>
      <c r="D87" s="2">
        <f>D85-D86</f>
        <v>86.960000000000008</v>
      </c>
      <c r="E87" s="2">
        <f>E85-E86</f>
        <v>76.799999999999983</v>
      </c>
    </row>
    <row r="88" spans="1:12" x14ac:dyDescent="0.3">
      <c r="A88" s="8" t="s">
        <v>14</v>
      </c>
      <c r="B88" s="2">
        <f>B86-B84</f>
        <v>74.09</v>
      </c>
      <c r="C88" s="2">
        <f>C86-C84</f>
        <v>66.759999999999991</v>
      </c>
      <c r="D88" s="2">
        <f>D86-D84</f>
        <v>70.81</v>
      </c>
      <c r="E88" s="2">
        <f>E86-E84</f>
        <v>63.500000000000007</v>
      </c>
    </row>
    <row r="89" spans="1:12" ht="15" thickBot="1" x14ac:dyDescent="0.35">
      <c r="A89" s="9" t="s">
        <v>15</v>
      </c>
      <c r="B89" s="6">
        <f>(B87/(B88))*100</f>
        <v>112.94371710082333</v>
      </c>
      <c r="C89" s="6">
        <f t="shared" ref="C89:E89" si="14">(C87/(C88))*100</f>
        <v>110.15578190533253</v>
      </c>
      <c r="D89" s="6">
        <f t="shared" si="14"/>
        <v>122.80751306312669</v>
      </c>
      <c r="E89" s="6">
        <f t="shared" si="14"/>
        <v>120.94488188976374</v>
      </c>
      <c r="G89" s="10">
        <f>AVERAGE(I89:L89)</f>
        <v>46.171615383708371</v>
      </c>
      <c r="I89" s="6">
        <f>(B88/(B85-B84))*100</f>
        <v>46.960765671547186</v>
      </c>
      <c r="J89" s="6">
        <f t="shared" ref="J89" si="15">(C88/(C85-C84))*100</f>
        <v>47.583749109052029</v>
      </c>
      <c r="K89" s="6">
        <f t="shared" ref="K89" si="16">(D88/(D85-D84))*100</f>
        <v>44.881789947391773</v>
      </c>
      <c r="L89" s="6">
        <f t="shared" ref="L89" si="17">(E88/(E85-E84))*100</f>
        <v>45.260156806842488</v>
      </c>
    </row>
    <row r="91" spans="1:12" x14ac:dyDescent="0.3">
      <c r="A91" s="11" t="s">
        <v>84</v>
      </c>
      <c r="B91" t="s">
        <v>31</v>
      </c>
    </row>
    <row r="92" spans="1:12" ht="15" thickBot="1" x14ac:dyDescent="0.35"/>
    <row r="93" spans="1:12" x14ac:dyDescent="0.3">
      <c r="A93" s="163" t="s">
        <v>3</v>
      </c>
      <c r="B93" s="164"/>
      <c r="C93" s="164"/>
      <c r="D93" s="164"/>
      <c r="E93" s="165"/>
      <c r="G93" s="148" t="s">
        <v>290</v>
      </c>
    </row>
    <row r="94" spans="1:12" x14ac:dyDescent="0.3">
      <c r="A94" s="3"/>
      <c r="B94" s="166" t="s">
        <v>8</v>
      </c>
      <c r="C94" s="166"/>
      <c r="D94" s="166" t="s">
        <v>9</v>
      </c>
      <c r="E94" s="167"/>
      <c r="G94" s="10">
        <f>AVERAGE(B101:E101)</f>
        <v>95.340872521668132</v>
      </c>
    </row>
    <row r="95" spans="1:12" x14ac:dyDescent="0.3">
      <c r="A95" s="8" t="s">
        <v>4</v>
      </c>
      <c r="B95" s="1" t="s">
        <v>32</v>
      </c>
      <c r="C95" s="1" t="s">
        <v>33</v>
      </c>
      <c r="D95" s="1" t="s">
        <v>32</v>
      </c>
      <c r="E95" s="4" t="s">
        <v>33</v>
      </c>
    </row>
    <row r="96" spans="1:12" x14ac:dyDescent="0.3">
      <c r="A96" s="8" t="s">
        <v>10</v>
      </c>
      <c r="B96" s="2">
        <v>33.520000000000003</v>
      </c>
      <c r="C96" s="2">
        <v>29.5</v>
      </c>
      <c r="D96" s="2">
        <v>33.520000000000003</v>
      </c>
      <c r="E96" s="2">
        <v>29.5</v>
      </c>
    </row>
    <row r="97" spans="1:12" x14ac:dyDescent="0.3">
      <c r="A97" s="8" t="s">
        <v>11</v>
      </c>
      <c r="B97" s="2">
        <v>306.68</v>
      </c>
      <c r="C97" s="2">
        <v>288.16000000000003</v>
      </c>
      <c r="D97" s="2">
        <v>306.68</v>
      </c>
      <c r="E97" s="2">
        <v>288.16000000000003</v>
      </c>
    </row>
    <row r="98" spans="1:12" x14ac:dyDescent="0.3">
      <c r="A98" s="8" t="s">
        <v>12</v>
      </c>
      <c r="B98" s="2">
        <v>178.56</v>
      </c>
      <c r="C98" s="2">
        <v>169.01</v>
      </c>
      <c r="D98" s="2">
        <v>167.6</v>
      </c>
      <c r="E98" s="5">
        <v>156.36000000000001</v>
      </c>
    </row>
    <row r="99" spans="1:12" x14ac:dyDescent="0.3">
      <c r="A99" s="8" t="s">
        <v>13</v>
      </c>
      <c r="B99" s="2">
        <f>B97-B98</f>
        <v>128.12</v>
      </c>
      <c r="C99" s="2">
        <f>C97-C98</f>
        <v>119.15000000000003</v>
      </c>
      <c r="D99" s="2">
        <f>D97-D98</f>
        <v>139.08000000000001</v>
      </c>
      <c r="E99" s="2">
        <f>E97-E98</f>
        <v>131.80000000000001</v>
      </c>
    </row>
    <row r="100" spans="1:12" x14ac:dyDescent="0.3">
      <c r="A100" s="8" t="s">
        <v>14</v>
      </c>
      <c r="B100" s="2">
        <f>B98-B96</f>
        <v>145.04</v>
      </c>
      <c r="C100" s="2">
        <f>C98-C96</f>
        <v>139.51</v>
      </c>
      <c r="D100" s="2">
        <f>D98-D96</f>
        <v>134.07999999999998</v>
      </c>
      <c r="E100" s="2">
        <f>E98-E96</f>
        <v>126.86000000000001</v>
      </c>
    </row>
    <row r="101" spans="1:12" ht="15" thickBot="1" x14ac:dyDescent="0.35">
      <c r="A101" s="9" t="s">
        <v>15</v>
      </c>
      <c r="B101" s="6">
        <f>(B99/(B100))*100</f>
        <v>88.334252619966918</v>
      </c>
      <c r="C101" s="6">
        <f t="shared" ref="C101:E101" si="18">(C99/(C100))*100</f>
        <v>85.406064081427886</v>
      </c>
      <c r="D101" s="6">
        <f t="shared" si="18"/>
        <v>103.72911694510742</v>
      </c>
      <c r="E101" s="6">
        <f t="shared" si="18"/>
        <v>103.89405644017027</v>
      </c>
      <c r="G101" s="10">
        <f>AVERAGE(I101:L101)</f>
        <v>51.290654589282624</v>
      </c>
      <c r="I101" s="6">
        <f>(B100/(B97-B96))*100</f>
        <v>53.097085956948298</v>
      </c>
      <c r="J101" s="6">
        <f t="shared" ref="J101" si="19">(C100/(C97-C96))*100</f>
        <v>53.935668445063015</v>
      </c>
      <c r="K101" s="6">
        <f t="shared" ref="K101" si="20">(D100/(D97-D96))*100</f>
        <v>49.084785473715023</v>
      </c>
      <c r="L101" s="6">
        <f t="shared" ref="L101" si="21">(E100/(E97-E96))*100</f>
        <v>49.045078481404161</v>
      </c>
    </row>
  </sheetData>
  <mergeCells count="26">
    <mergeCell ref="A19:E19"/>
    <mergeCell ref="B2:H2"/>
    <mergeCell ref="B3:H3"/>
    <mergeCell ref="A7:E7"/>
    <mergeCell ref="B8:C8"/>
    <mergeCell ref="D8:E8"/>
    <mergeCell ref="A69:E69"/>
    <mergeCell ref="B20:C20"/>
    <mergeCell ref="D20:E20"/>
    <mergeCell ref="A32:E32"/>
    <mergeCell ref="B33:C33"/>
    <mergeCell ref="D33:E33"/>
    <mergeCell ref="A44:E44"/>
    <mergeCell ref="B45:C45"/>
    <mergeCell ref="D45:E45"/>
    <mergeCell ref="A56:E56"/>
    <mergeCell ref="B57:C57"/>
    <mergeCell ref="D57:E57"/>
    <mergeCell ref="B94:C94"/>
    <mergeCell ref="D94:E94"/>
    <mergeCell ref="B70:C70"/>
    <mergeCell ref="D70:E70"/>
    <mergeCell ref="A81:E81"/>
    <mergeCell ref="B82:C82"/>
    <mergeCell ref="D82:E82"/>
    <mergeCell ref="A93:E9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B293"/>
  <sheetViews>
    <sheetView workbookViewId="0">
      <selection activeCell="D14" sqref="D14"/>
    </sheetView>
  </sheetViews>
  <sheetFormatPr defaultRowHeight="14.4" x14ac:dyDescent="0.3"/>
  <cols>
    <col min="1" max="1" width="40.33203125" bestFit="1" customWidth="1"/>
    <col min="2" max="2" width="34.33203125" customWidth="1"/>
  </cols>
  <sheetData>
    <row r="1" spans="1:2" x14ac:dyDescent="0.3">
      <c r="A1" s="11" t="s">
        <v>16</v>
      </c>
      <c r="B1" t="s">
        <v>89</v>
      </c>
    </row>
    <row r="2" spans="1:2" x14ac:dyDescent="0.3">
      <c r="A2" s="11" t="s">
        <v>35</v>
      </c>
      <c r="B2" s="16">
        <v>43838</v>
      </c>
    </row>
    <row r="3" spans="1:2" x14ac:dyDescent="0.3">
      <c r="A3" s="11" t="s">
        <v>36</v>
      </c>
      <c r="B3" s="19" t="s">
        <v>48</v>
      </c>
    </row>
    <row r="4" spans="1:2" ht="15" thickBot="1" x14ac:dyDescent="0.35"/>
    <row r="5" spans="1:2" x14ac:dyDescent="0.3">
      <c r="A5" s="163" t="s">
        <v>37</v>
      </c>
      <c r="B5" s="164"/>
    </row>
    <row r="6" spans="1:2" x14ac:dyDescent="0.3">
      <c r="A6" s="3"/>
      <c r="B6" s="20"/>
    </row>
    <row r="7" spans="1:2" x14ac:dyDescent="0.3">
      <c r="A7" s="8" t="s">
        <v>39</v>
      </c>
      <c r="B7" s="18">
        <v>263.60000000000002</v>
      </c>
    </row>
    <row r="8" spans="1:2" x14ac:dyDescent="0.3">
      <c r="A8" s="8" t="s">
        <v>38</v>
      </c>
      <c r="B8" s="2">
        <v>171.4</v>
      </c>
    </row>
    <row r="9" spans="1:2" x14ac:dyDescent="0.3">
      <c r="A9" s="8" t="s">
        <v>41</v>
      </c>
      <c r="B9" s="2">
        <f>B7-B8</f>
        <v>92.200000000000017</v>
      </c>
    </row>
    <row r="10" spans="1:2" x14ac:dyDescent="0.3">
      <c r="A10" s="8" t="s">
        <v>40</v>
      </c>
      <c r="B10" s="2">
        <v>669.1</v>
      </c>
    </row>
    <row r="11" spans="1:2" ht="28.8" x14ac:dyDescent="0.3">
      <c r="A11" s="17" t="s">
        <v>42</v>
      </c>
      <c r="B11" s="18">
        <f>B9+B10</f>
        <v>761.30000000000007</v>
      </c>
    </row>
    <row r="12" spans="1:2" x14ac:dyDescent="0.3">
      <c r="A12" s="8" t="s">
        <v>51</v>
      </c>
      <c r="B12" s="2">
        <v>726.6</v>
      </c>
    </row>
    <row r="13" spans="1:2" x14ac:dyDescent="0.3">
      <c r="A13" s="8" t="s">
        <v>43</v>
      </c>
      <c r="B13" s="2">
        <f>B11-B12</f>
        <v>34.700000000000045</v>
      </c>
    </row>
    <row r="14" spans="1:2" x14ac:dyDescent="0.3">
      <c r="A14" s="8" t="s">
        <v>44</v>
      </c>
      <c r="B14" s="2">
        <v>28</v>
      </c>
    </row>
    <row r="15" spans="1:2" x14ac:dyDescent="0.3">
      <c r="A15" s="8" t="s">
        <v>45</v>
      </c>
      <c r="B15" s="2">
        <v>0.99918700000000005</v>
      </c>
    </row>
    <row r="16" spans="1:2" ht="15" thickBot="1" x14ac:dyDescent="0.35">
      <c r="A16" s="9" t="s">
        <v>46</v>
      </c>
      <c r="B16" s="6">
        <f>B9/(B13*B15)</f>
        <v>2.659222466597329</v>
      </c>
    </row>
    <row r="20" spans="1:2" x14ac:dyDescent="0.3">
      <c r="A20" s="11" t="s">
        <v>16</v>
      </c>
      <c r="B20" t="s">
        <v>89</v>
      </c>
    </row>
    <row r="21" spans="1:2" x14ac:dyDescent="0.3">
      <c r="A21" s="11" t="s">
        <v>35</v>
      </c>
      <c r="B21" s="16">
        <v>43838</v>
      </c>
    </row>
    <row r="22" spans="1:2" x14ac:dyDescent="0.3">
      <c r="A22" s="11" t="s">
        <v>36</v>
      </c>
      <c r="B22" s="19" t="s">
        <v>49</v>
      </c>
    </row>
    <row r="23" spans="1:2" ht="15" thickBot="1" x14ac:dyDescent="0.35"/>
    <row r="24" spans="1:2" x14ac:dyDescent="0.3">
      <c r="A24" s="163" t="s">
        <v>37</v>
      </c>
      <c r="B24" s="164"/>
    </row>
    <row r="25" spans="1:2" x14ac:dyDescent="0.3">
      <c r="A25" s="3"/>
      <c r="B25" s="20"/>
    </row>
    <row r="26" spans="1:2" x14ac:dyDescent="0.3">
      <c r="A26" s="8" t="s">
        <v>47</v>
      </c>
      <c r="B26" s="18">
        <v>270.39999999999998</v>
      </c>
    </row>
    <row r="27" spans="1:2" x14ac:dyDescent="0.3">
      <c r="A27" s="8" t="s">
        <v>38</v>
      </c>
      <c r="B27" s="2">
        <v>170.5</v>
      </c>
    </row>
    <row r="28" spans="1:2" x14ac:dyDescent="0.3">
      <c r="A28" s="8" t="s">
        <v>41</v>
      </c>
      <c r="B28" s="2">
        <f>B26-B27</f>
        <v>99.899999999999977</v>
      </c>
    </row>
    <row r="29" spans="1:2" x14ac:dyDescent="0.3">
      <c r="A29" s="8" t="s">
        <v>40</v>
      </c>
      <c r="B29" s="2">
        <v>668.7</v>
      </c>
    </row>
    <row r="30" spans="1:2" ht="28.8" x14ac:dyDescent="0.3">
      <c r="A30" s="17" t="s">
        <v>42</v>
      </c>
      <c r="B30" s="18">
        <f>B28+B29</f>
        <v>768.6</v>
      </c>
    </row>
    <row r="31" spans="1:2" x14ac:dyDescent="0.3">
      <c r="A31" s="8" t="s">
        <v>51</v>
      </c>
      <c r="B31" s="2">
        <v>730.6</v>
      </c>
    </row>
    <row r="32" spans="1:2" x14ac:dyDescent="0.3">
      <c r="A32" s="8" t="s">
        <v>43</v>
      </c>
      <c r="B32" s="2">
        <f>B30-B31</f>
        <v>38</v>
      </c>
    </row>
    <row r="33" spans="1:2" x14ac:dyDescent="0.3">
      <c r="A33" s="8" t="s">
        <v>44</v>
      </c>
      <c r="B33" s="2">
        <v>28</v>
      </c>
    </row>
    <row r="34" spans="1:2" x14ac:dyDescent="0.3">
      <c r="A34" s="8" t="s">
        <v>45</v>
      </c>
      <c r="B34" s="2">
        <v>0.99918700000000005</v>
      </c>
    </row>
    <row r="35" spans="1:2" ht="15" thickBot="1" x14ac:dyDescent="0.35">
      <c r="A35" s="9" t="s">
        <v>46</v>
      </c>
      <c r="B35" s="6">
        <f>B28/(B32*B34)</f>
        <v>2.6310864416981525</v>
      </c>
    </row>
    <row r="39" spans="1:2" x14ac:dyDescent="0.3">
      <c r="A39" s="11" t="s">
        <v>20</v>
      </c>
      <c r="B39" t="s">
        <v>90</v>
      </c>
    </row>
    <row r="40" spans="1:2" x14ac:dyDescent="0.3">
      <c r="A40" s="11" t="s">
        <v>35</v>
      </c>
      <c r="B40" s="16">
        <v>43838</v>
      </c>
    </row>
    <row r="41" spans="1:2" x14ac:dyDescent="0.3">
      <c r="A41" s="11" t="s">
        <v>36</v>
      </c>
      <c r="B41" s="19" t="s">
        <v>50</v>
      </c>
    </row>
    <row r="42" spans="1:2" ht="15" thickBot="1" x14ac:dyDescent="0.35"/>
    <row r="43" spans="1:2" x14ac:dyDescent="0.3">
      <c r="A43" s="163" t="s">
        <v>37</v>
      </c>
      <c r="B43" s="164"/>
    </row>
    <row r="44" spans="1:2" x14ac:dyDescent="0.3">
      <c r="A44" s="3"/>
      <c r="B44" s="20"/>
    </row>
    <row r="45" spans="1:2" x14ac:dyDescent="0.3">
      <c r="A45" s="8" t="s">
        <v>52</v>
      </c>
      <c r="B45" s="18">
        <v>263.2</v>
      </c>
    </row>
    <row r="46" spans="1:2" x14ac:dyDescent="0.3">
      <c r="A46" s="8" t="s">
        <v>38</v>
      </c>
      <c r="B46" s="2">
        <v>168.9</v>
      </c>
    </row>
    <row r="47" spans="1:2" x14ac:dyDescent="0.3">
      <c r="A47" s="8" t="s">
        <v>41</v>
      </c>
      <c r="B47" s="2">
        <f>B45-B46</f>
        <v>94.299999999999983</v>
      </c>
    </row>
    <row r="48" spans="1:2" x14ac:dyDescent="0.3">
      <c r="A48" s="8" t="s">
        <v>40</v>
      </c>
      <c r="B48" s="2">
        <v>666.8</v>
      </c>
    </row>
    <row r="49" spans="1:2" ht="28.8" x14ac:dyDescent="0.3">
      <c r="A49" s="17" t="s">
        <v>42</v>
      </c>
      <c r="B49" s="18">
        <f>B47+B48</f>
        <v>761.09999999999991</v>
      </c>
    </row>
    <row r="50" spans="1:2" x14ac:dyDescent="0.3">
      <c r="A50" s="8" t="s">
        <v>51</v>
      </c>
      <c r="B50" s="2">
        <v>725.7</v>
      </c>
    </row>
    <row r="51" spans="1:2" x14ac:dyDescent="0.3">
      <c r="A51" s="8" t="s">
        <v>43</v>
      </c>
      <c r="B51" s="2">
        <f>B49-B50</f>
        <v>35.399999999999864</v>
      </c>
    </row>
    <row r="52" spans="1:2" x14ac:dyDescent="0.3">
      <c r="A52" s="8" t="s">
        <v>44</v>
      </c>
      <c r="B52" s="2">
        <v>28</v>
      </c>
    </row>
    <row r="53" spans="1:2" x14ac:dyDescent="0.3">
      <c r="A53" s="8" t="s">
        <v>45</v>
      </c>
      <c r="B53" s="2">
        <v>0.99918700000000005</v>
      </c>
    </row>
    <row r="54" spans="1:2" ht="15" thickBot="1" x14ac:dyDescent="0.35">
      <c r="A54" s="9" t="s">
        <v>46</v>
      </c>
      <c r="B54" s="6">
        <f>B47/(B51*B53)</f>
        <v>2.6660092734489282</v>
      </c>
    </row>
    <row r="58" spans="1:2" x14ac:dyDescent="0.3">
      <c r="A58" s="11" t="s">
        <v>20</v>
      </c>
      <c r="B58" t="s">
        <v>90</v>
      </c>
    </row>
    <row r="59" spans="1:2" x14ac:dyDescent="0.3">
      <c r="A59" s="11" t="s">
        <v>35</v>
      </c>
      <c r="B59" s="16">
        <v>43838</v>
      </c>
    </row>
    <row r="60" spans="1:2" x14ac:dyDescent="0.3">
      <c r="A60" s="11" t="s">
        <v>36</v>
      </c>
      <c r="B60" s="19" t="s">
        <v>56</v>
      </c>
    </row>
    <row r="61" spans="1:2" ht="15" thickBot="1" x14ac:dyDescent="0.35"/>
    <row r="62" spans="1:2" x14ac:dyDescent="0.3">
      <c r="A62" s="163" t="s">
        <v>37</v>
      </c>
      <c r="B62" s="164"/>
    </row>
    <row r="63" spans="1:2" x14ac:dyDescent="0.3">
      <c r="A63" s="3"/>
      <c r="B63" s="20"/>
    </row>
    <row r="64" spans="1:2" x14ac:dyDescent="0.3">
      <c r="A64" s="8" t="s">
        <v>55</v>
      </c>
      <c r="B64" s="18">
        <v>262.60000000000002</v>
      </c>
    </row>
    <row r="65" spans="1:2" x14ac:dyDescent="0.3">
      <c r="A65" s="8" t="s">
        <v>38</v>
      </c>
      <c r="B65" s="2">
        <v>170.7</v>
      </c>
    </row>
    <row r="66" spans="1:2" x14ac:dyDescent="0.3">
      <c r="A66" s="8" t="s">
        <v>41</v>
      </c>
      <c r="B66" s="2">
        <f>B64-B65</f>
        <v>91.900000000000034</v>
      </c>
    </row>
    <row r="67" spans="1:2" x14ac:dyDescent="0.3">
      <c r="A67" s="8" t="s">
        <v>40</v>
      </c>
      <c r="B67" s="2">
        <v>668.6</v>
      </c>
    </row>
    <row r="68" spans="1:2" ht="28.8" x14ac:dyDescent="0.3">
      <c r="A68" s="17" t="s">
        <v>42</v>
      </c>
      <c r="B68" s="18">
        <f>B66+B67</f>
        <v>760.5</v>
      </c>
    </row>
    <row r="69" spans="1:2" x14ac:dyDescent="0.3">
      <c r="A69" s="8" t="s">
        <v>51</v>
      </c>
      <c r="B69" s="2">
        <v>725.8</v>
      </c>
    </row>
    <row r="70" spans="1:2" x14ac:dyDescent="0.3">
      <c r="A70" s="8" t="s">
        <v>43</v>
      </c>
      <c r="B70" s="2">
        <f>B68-B69</f>
        <v>34.700000000000045</v>
      </c>
    </row>
    <row r="71" spans="1:2" x14ac:dyDescent="0.3">
      <c r="A71" s="8" t="s">
        <v>44</v>
      </c>
      <c r="B71" s="2">
        <v>28</v>
      </c>
    </row>
    <row r="72" spans="1:2" x14ac:dyDescent="0.3">
      <c r="A72" s="8" t="s">
        <v>45</v>
      </c>
      <c r="B72" s="2">
        <v>0.99918700000000005</v>
      </c>
    </row>
    <row r="73" spans="1:2" ht="15" thickBot="1" x14ac:dyDescent="0.35">
      <c r="A73" s="9" t="s">
        <v>46</v>
      </c>
      <c r="B73" s="6">
        <f>B66/(B70*B72)</f>
        <v>2.6505698989185964</v>
      </c>
    </row>
    <row r="75" spans="1:2" x14ac:dyDescent="0.3">
      <c r="A75" s="11" t="s">
        <v>21</v>
      </c>
      <c r="B75" t="s">
        <v>54</v>
      </c>
    </row>
    <row r="76" spans="1:2" x14ac:dyDescent="0.3">
      <c r="A76" s="11" t="s">
        <v>35</v>
      </c>
      <c r="B76" s="16">
        <v>43809</v>
      </c>
    </row>
    <row r="77" spans="1:2" x14ac:dyDescent="0.3">
      <c r="A77" s="11" t="s">
        <v>36</v>
      </c>
      <c r="B77" s="19" t="s">
        <v>91</v>
      </c>
    </row>
    <row r="78" spans="1:2" ht="15" thickBot="1" x14ac:dyDescent="0.35"/>
    <row r="79" spans="1:2" x14ac:dyDescent="0.3">
      <c r="A79" s="163" t="s">
        <v>37</v>
      </c>
      <c r="B79" s="164"/>
    </row>
    <row r="80" spans="1:2" x14ac:dyDescent="0.3">
      <c r="A80" s="3"/>
      <c r="B80" s="20"/>
    </row>
    <row r="81" spans="1:2" x14ac:dyDescent="0.3">
      <c r="A81" s="8" t="s">
        <v>39</v>
      </c>
      <c r="B81" s="18">
        <v>471.69</v>
      </c>
    </row>
    <row r="82" spans="1:2" x14ac:dyDescent="0.3">
      <c r="A82" s="8" t="s">
        <v>38</v>
      </c>
      <c r="B82" s="2">
        <v>319.12</v>
      </c>
    </row>
    <row r="83" spans="1:2" x14ac:dyDescent="0.3">
      <c r="A83" s="8" t="s">
        <v>41</v>
      </c>
      <c r="B83" s="2">
        <f>B81-B82</f>
        <v>152.57</v>
      </c>
    </row>
    <row r="84" spans="1:2" x14ac:dyDescent="0.3">
      <c r="A84" s="8" t="s">
        <v>40</v>
      </c>
      <c r="B84" s="2">
        <v>1294.05</v>
      </c>
    </row>
    <row r="85" spans="1:2" ht="28.8" x14ac:dyDescent="0.3">
      <c r="A85" s="17" t="s">
        <v>42</v>
      </c>
      <c r="B85" s="18">
        <f>B83+B84</f>
        <v>1446.62</v>
      </c>
    </row>
    <row r="86" spans="1:2" x14ac:dyDescent="0.3">
      <c r="A86" s="8" t="s">
        <v>51</v>
      </c>
      <c r="B86" s="2">
        <v>1389.09</v>
      </c>
    </row>
    <row r="87" spans="1:2" x14ac:dyDescent="0.3">
      <c r="A87" s="8" t="s">
        <v>43</v>
      </c>
      <c r="B87" s="2">
        <f>B85-B86</f>
        <v>57.529999999999973</v>
      </c>
    </row>
    <row r="88" spans="1:2" x14ac:dyDescent="0.3">
      <c r="A88" s="8" t="s">
        <v>44</v>
      </c>
      <c r="B88" s="2">
        <v>28</v>
      </c>
    </row>
    <row r="89" spans="1:2" x14ac:dyDescent="0.3">
      <c r="A89" s="8" t="s">
        <v>45</v>
      </c>
      <c r="B89" s="2">
        <v>0.99918700000000005</v>
      </c>
    </row>
    <row r="90" spans="1:2" ht="15" thickBot="1" x14ac:dyDescent="0.35">
      <c r="A90" s="9" t="s">
        <v>46</v>
      </c>
      <c r="B90" s="6">
        <f>B83/(B87*B89)</f>
        <v>2.654165484722637</v>
      </c>
    </row>
    <row r="94" spans="1:2" x14ac:dyDescent="0.3">
      <c r="A94" s="11" t="s">
        <v>21</v>
      </c>
      <c r="B94" t="s">
        <v>54</v>
      </c>
    </row>
    <row r="95" spans="1:2" x14ac:dyDescent="0.3">
      <c r="A95" s="11" t="s">
        <v>35</v>
      </c>
      <c r="B95" s="16">
        <v>43809</v>
      </c>
    </row>
    <row r="96" spans="1:2" x14ac:dyDescent="0.3">
      <c r="A96" s="11" t="s">
        <v>36</v>
      </c>
      <c r="B96" s="19" t="s">
        <v>92</v>
      </c>
    </row>
    <row r="97" spans="1:2" ht="15" thickBot="1" x14ac:dyDescent="0.35"/>
    <row r="98" spans="1:2" x14ac:dyDescent="0.3">
      <c r="A98" s="163" t="s">
        <v>37</v>
      </c>
      <c r="B98" s="164"/>
    </row>
    <row r="99" spans="1:2" x14ac:dyDescent="0.3">
      <c r="A99" s="3"/>
      <c r="B99" s="20"/>
    </row>
    <row r="100" spans="1:2" x14ac:dyDescent="0.3">
      <c r="A100" s="8" t="s">
        <v>47</v>
      </c>
      <c r="B100" s="18">
        <v>485.19</v>
      </c>
    </row>
    <row r="101" spans="1:2" x14ac:dyDescent="0.3">
      <c r="A101" s="8" t="s">
        <v>38</v>
      </c>
      <c r="B101" s="2">
        <v>322.25</v>
      </c>
    </row>
    <row r="102" spans="1:2" x14ac:dyDescent="0.3">
      <c r="A102" s="8" t="s">
        <v>41</v>
      </c>
      <c r="B102" s="2">
        <f>B100-B101</f>
        <v>162.94</v>
      </c>
    </row>
    <row r="103" spans="1:2" x14ac:dyDescent="0.3">
      <c r="A103" s="8" t="s">
        <v>40</v>
      </c>
      <c r="B103" s="2">
        <v>1298.9100000000001</v>
      </c>
    </row>
    <row r="104" spans="1:2" ht="28.8" x14ac:dyDescent="0.3">
      <c r="A104" s="17" t="s">
        <v>42</v>
      </c>
      <c r="B104" s="18">
        <f>B102+B103</f>
        <v>1461.8500000000001</v>
      </c>
    </row>
    <row r="105" spans="1:2" x14ac:dyDescent="0.3">
      <c r="A105" s="8" t="s">
        <v>51</v>
      </c>
      <c r="B105" s="2">
        <v>1400.62</v>
      </c>
    </row>
    <row r="106" spans="1:2" x14ac:dyDescent="0.3">
      <c r="A106" s="8" t="s">
        <v>43</v>
      </c>
      <c r="B106" s="2">
        <f>B104-B105</f>
        <v>61.230000000000246</v>
      </c>
    </row>
    <row r="107" spans="1:2" x14ac:dyDescent="0.3">
      <c r="A107" s="8" t="s">
        <v>44</v>
      </c>
      <c r="B107" s="2">
        <v>28</v>
      </c>
    </row>
    <row r="108" spans="1:2" x14ac:dyDescent="0.3">
      <c r="A108" s="8" t="s">
        <v>45</v>
      </c>
      <c r="B108" s="2">
        <v>0.99918700000000005</v>
      </c>
    </row>
    <row r="109" spans="1:2" ht="15" thickBot="1" x14ac:dyDescent="0.35">
      <c r="A109" s="9" t="s">
        <v>46</v>
      </c>
      <c r="B109" s="6">
        <f>B102/(B106*B108)</f>
        <v>2.6632790789795551</v>
      </c>
    </row>
    <row r="113" spans="1:2" x14ac:dyDescent="0.3">
      <c r="A113" s="11" t="s">
        <v>25</v>
      </c>
      <c r="B113" t="s">
        <v>53</v>
      </c>
    </row>
    <row r="114" spans="1:2" x14ac:dyDescent="0.3">
      <c r="A114" s="11" t="s">
        <v>35</v>
      </c>
      <c r="B114" s="16">
        <v>43809</v>
      </c>
    </row>
    <row r="115" spans="1:2" x14ac:dyDescent="0.3">
      <c r="A115" s="11" t="s">
        <v>36</v>
      </c>
      <c r="B115" s="19" t="s">
        <v>93</v>
      </c>
    </row>
    <row r="116" spans="1:2" ht="15" thickBot="1" x14ac:dyDescent="0.35"/>
    <row r="117" spans="1:2" x14ac:dyDescent="0.3">
      <c r="A117" s="163" t="s">
        <v>37</v>
      </c>
      <c r="B117" s="164"/>
    </row>
    <row r="118" spans="1:2" x14ac:dyDescent="0.3">
      <c r="A118" s="3"/>
      <c r="B118" s="20"/>
    </row>
    <row r="119" spans="1:2" x14ac:dyDescent="0.3">
      <c r="A119" s="8" t="s">
        <v>52</v>
      </c>
      <c r="B119" s="18">
        <v>293.02999999999997</v>
      </c>
    </row>
    <row r="120" spans="1:2" x14ac:dyDescent="0.3">
      <c r="A120" s="8" t="s">
        <v>38</v>
      </c>
      <c r="B120" s="2">
        <v>170.34</v>
      </c>
    </row>
    <row r="121" spans="1:2" x14ac:dyDescent="0.3">
      <c r="A121" s="8" t="s">
        <v>41</v>
      </c>
      <c r="B121" s="2">
        <f>B119-B120</f>
        <v>122.68999999999997</v>
      </c>
    </row>
    <row r="122" spans="1:2" x14ac:dyDescent="0.3">
      <c r="A122" s="8" t="s">
        <v>40</v>
      </c>
      <c r="B122" s="2">
        <v>681.88</v>
      </c>
    </row>
    <row r="123" spans="1:2" ht="28.8" x14ac:dyDescent="0.3">
      <c r="A123" s="17" t="s">
        <v>42</v>
      </c>
      <c r="B123" s="18">
        <f>B121+B122</f>
        <v>804.56999999999994</v>
      </c>
    </row>
    <row r="124" spans="1:2" x14ac:dyDescent="0.3">
      <c r="A124" s="8" t="s">
        <v>51</v>
      </c>
      <c r="B124" s="2">
        <v>758.03</v>
      </c>
    </row>
    <row r="125" spans="1:2" x14ac:dyDescent="0.3">
      <c r="A125" s="8" t="s">
        <v>43</v>
      </c>
      <c r="B125" s="2">
        <f>B123-B124</f>
        <v>46.539999999999964</v>
      </c>
    </row>
    <row r="126" spans="1:2" x14ac:dyDescent="0.3">
      <c r="A126" s="8" t="s">
        <v>44</v>
      </c>
      <c r="B126" s="2">
        <v>28</v>
      </c>
    </row>
    <row r="127" spans="1:2" x14ac:dyDescent="0.3">
      <c r="A127" s="8" t="s">
        <v>45</v>
      </c>
      <c r="B127" s="2">
        <v>0.99918700000000005</v>
      </c>
    </row>
    <row r="128" spans="1:2" ht="15" thickBot="1" x14ac:dyDescent="0.35">
      <c r="A128" s="9" t="s">
        <v>46</v>
      </c>
      <c r="B128" s="6">
        <f>B121/(B125*B127)</f>
        <v>2.6383718979430593</v>
      </c>
    </row>
    <row r="132" spans="1:2" x14ac:dyDescent="0.3">
      <c r="A132" s="11" t="s">
        <v>25</v>
      </c>
      <c r="B132" t="s">
        <v>53</v>
      </c>
    </row>
    <row r="133" spans="1:2" x14ac:dyDescent="0.3">
      <c r="A133" s="11" t="s">
        <v>35</v>
      </c>
      <c r="B133" s="16">
        <v>43809</v>
      </c>
    </row>
    <row r="134" spans="1:2" x14ac:dyDescent="0.3">
      <c r="A134" s="11" t="s">
        <v>36</v>
      </c>
      <c r="B134" s="19" t="s">
        <v>94</v>
      </c>
    </row>
    <row r="135" spans="1:2" ht="15" thickBot="1" x14ac:dyDescent="0.35"/>
    <row r="136" spans="1:2" x14ac:dyDescent="0.3">
      <c r="A136" s="163" t="s">
        <v>37</v>
      </c>
      <c r="B136" s="164"/>
    </row>
    <row r="137" spans="1:2" x14ac:dyDescent="0.3">
      <c r="A137" s="3"/>
      <c r="B137" s="20"/>
    </row>
    <row r="138" spans="1:2" x14ac:dyDescent="0.3">
      <c r="A138" s="8" t="s">
        <v>55</v>
      </c>
      <c r="B138" s="18">
        <v>304.98</v>
      </c>
    </row>
    <row r="139" spans="1:2" x14ac:dyDescent="0.3">
      <c r="A139" s="8" t="s">
        <v>38</v>
      </c>
      <c r="B139" s="2">
        <v>168.7</v>
      </c>
    </row>
    <row r="140" spans="1:2" x14ac:dyDescent="0.3">
      <c r="A140" s="8" t="s">
        <v>41</v>
      </c>
      <c r="B140" s="2">
        <f>B138-B139</f>
        <v>136.28000000000003</v>
      </c>
    </row>
    <row r="141" spans="1:2" x14ac:dyDescent="0.3">
      <c r="A141" s="8" t="s">
        <v>40</v>
      </c>
      <c r="B141" s="2">
        <v>682.85</v>
      </c>
    </row>
    <row r="142" spans="1:2" ht="28.8" x14ac:dyDescent="0.3">
      <c r="A142" s="17" t="s">
        <v>42</v>
      </c>
      <c r="B142" s="18">
        <f>B140+B141</f>
        <v>819.13000000000011</v>
      </c>
    </row>
    <row r="143" spans="1:2" x14ac:dyDescent="0.3">
      <c r="A143" s="8" t="s">
        <v>51</v>
      </c>
      <c r="B143" s="2">
        <v>767.56</v>
      </c>
    </row>
    <row r="144" spans="1:2" x14ac:dyDescent="0.3">
      <c r="A144" s="8" t="s">
        <v>43</v>
      </c>
      <c r="B144" s="2">
        <f>B142-B143</f>
        <v>51.570000000000164</v>
      </c>
    </row>
    <row r="145" spans="1:2" x14ac:dyDescent="0.3">
      <c r="A145" s="8" t="s">
        <v>44</v>
      </c>
      <c r="B145" s="2">
        <v>28</v>
      </c>
    </row>
    <row r="146" spans="1:2" x14ac:dyDescent="0.3">
      <c r="A146" s="8" t="s">
        <v>45</v>
      </c>
      <c r="B146" s="2">
        <v>0.99918700000000005</v>
      </c>
    </row>
    <row r="147" spans="1:2" ht="15" thickBot="1" x14ac:dyDescent="0.35">
      <c r="A147" s="9" t="s">
        <v>46</v>
      </c>
      <c r="B147" s="6">
        <f>B140/(B144*B146)</f>
        <v>2.6447718788083572</v>
      </c>
    </row>
    <row r="149" spans="1:2" x14ac:dyDescent="0.3">
      <c r="A149" s="11" t="s">
        <v>27</v>
      </c>
      <c r="B149" t="s">
        <v>95</v>
      </c>
    </row>
    <row r="150" spans="1:2" x14ac:dyDescent="0.3">
      <c r="A150" s="11" t="s">
        <v>35</v>
      </c>
      <c r="B150" s="16">
        <v>43811</v>
      </c>
    </row>
    <row r="151" spans="1:2" x14ac:dyDescent="0.3">
      <c r="A151" s="11" t="s">
        <v>36</v>
      </c>
      <c r="B151" s="19" t="s">
        <v>96</v>
      </c>
    </row>
    <row r="152" spans="1:2" ht="15" thickBot="1" x14ac:dyDescent="0.35"/>
    <row r="153" spans="1:2" x14ac:dyDescent="0.3">
      <c r="A153" s="163" t="s">
        <v>37</v>
      </c>
      <c r="B153" s="164"/>
    </row>
    <row r="154" spans="1:2" x14ac:dyDescent="0.3">
      <c r="A154" s="3"/>
      <c r="B154" s="7"/>
    </row>
    <row r="155" spans="1:2" x14ac:dyDescent="0.3">
      <c r="A155" s="8" t="s">
        <v>39</v>
      </c>
      <c r="B155" s="18">
        <v>305</v>
      </c>
    </row>
    <row r="156" spans="1:2" x14ac:dyDescent="0.3">
      <c r="A156" s="8" t="s">
        <v>38</v>
      </c>
      <c r="B156" s="2">
        <v>171.1</v>
      </c>
    </row>
    <row r="157" spans="1:2" x14ac:dyDescent="0.3">
      <c r="A157" s="8" t="s">
        <v>41</v>
      </c>
      <c r="B157" s="2">
        <f>B155-B156</f>
        <v>133.9</v>
      </c>
    </row>
    <row r="158" spans="1:2" x14ac:dyDescent="0.3">
      <c r="A158" s="8" t="s">
        <v>40</v>
      </c>
      <c r="B158" s="2">
        <v>668</v>
      </c>
    </row>
    <row r="159" spans="1:2" ht="28.8" x14ac:dyDescent="0.3">
      <c r="A159" s="17" t="s">
        <v>42</v>
      </c>
      <c r="B159" s="18">
        <f>B157+B158</f>
        <v>801.9</v>
      </c>
    </row>
    <row r="160" spans="1:2" x14ac:dyDescent="0.3">
      <c r="A160" s="8" t="s">
        <v>51</v>
      </c>
      <c r="B160" s="2">
        <v>751.7</v>
      </c>
    </row>
    <row r="161" spans="1:2" x14ac:dyDescent="0.3">
      <c r="A161" s="8" t="s">
        <v>43</v>
      </c>
      <c r="B161" s="2">
        <f>B159-B160</f>
        <v>50.199999999999932</v>
      </c>
    </row>
    <row r="162" spans="1:2" x14ac:dyDescent="0.3">
      <c r="A162" s="8" t="s">
        <v>44</v>
      </c>
      <c r="B162" s="2">
        <v>28</v>
      </c>
    </row>
    <row r="163" spans="1:2" x14ac:dyDescent="0.3">
      <c r="A163" s="8" t="s">
        <v>45</v>
      </c>
      <c r="B163" s="2">
        <v>0.99918700000000005</v>
      </c>
    </row>
    <row r="164" spans="1:2" ht="15" thickBot="1" x14ac:dyDescent="0.35">
      <c r="A164" s="9" t="s">
        <v>46</v>
      </c>
      <c r="B164" s="6">
        <f>B157/(B161*B163)</f>
        <v>2.6695009815888717</v>
      </c>
    </row>
    <row r="168" spans="1:2" x14ac:dyDescent="0.3">
      <c r="A168" s="11" t="s">
        <v>27</v>
      </c>
      <c r="B168" t="s">
        <v>95</v>
      </c>
    </row>
    <row r="169" spans="1:2" x14ac:dyDescent="0.3">
      <c r="A169" s="11" t="s">
        <v>35</v>
      </c>
      <c r="B169" s="16">
        <v>43811</v>
      </c>
    </row>
    <row r="170" spans="1:2" x14ac:dyDescent="0.3">
      <c r="A170" s="11" t="s">
        <v>36</v>
      </c>
      <c r="B170" s="19" t="s">
        <v>97</v>
      </c>
    </row>
    <row r="171" spans="1:2" ht="15" thickBot="1" x14ac:dyDescent="0.35"/>
    <row r="172" spans="1:2" x14ac:dyDescent="0.3">
      <c r="A172" s="163" t="s">
        <v>37</v>
      </c>
      <c r="B172" s="164"/>
    </row>
    <row r="173" spans="1:2" x14ac:dyDescent="0.3">
      <c r="A173" s="3"/>
      <c r="B173" s="7"/>
    </row>
    <row r="174" spans="1:2" x14ac:dyDescent="0.3">
      <c r="A174" s="8" t="s">
        <v>47</v>
      </c>
      <c r="B174" s="18">
        <v>280.10000000000002</v>
      </c>
    </row>
    <row r="175" spans="1:2" x14ac:dyDescent="0.3">
      <c r="A175" s="8" t="s">
        <v>38</v>
      </c>
      <c r="B175" s="2">
        <v>169.5</v>
      </c>
    </row>
    <row r="176" spans="1:2" x14ac:dyDescent="0.3">
      <c r="A176" s="8" t="s">
        <v>41</v>
      </c>
      <c r="B176" s="2">
        <f>B174-B175</f>
        <v>110.60000000000002</v>
      </c>
    </row>
    <row r="177" spans="1:2" x14ac:dyDescent="0.3">
      <c r="A177" s="8" t="s">
        <v>40</v>
      </c>
      <c r="B177" s="2">
        <v>670</v>
      </c>
    </row>
    <row r="178" spans="1:2" ht="28.8" x14ac:dyDescent="0.3">
      <c r="A178" s="17" t="s">
        <v>42</v>
      </c>
      <c r="B178" s="18">
        <f>B176+B177</f>
        <v>780.6</v>
      </c>
    </row>
    <row r="179" spans="1:2" x14ac:dyDescent="0.3">
      <c r="A179" s="8" t="s">
        <v>51</v>
      </c>
      <c r="B179" s="2">
        <v>739.4</v>
      </c>
    </row>
    <row r="180" spans="1:2" x14ac:dyDescent="0.3">
      <c r="A180" s="8" t="s">
        <v>43</v>
      </c>
      <c r="B180" s="2">
        <f>B178-B179</f>
        <v>41.200000000000045</v>
      </c>
    </row>
    <row r="181" spans="1:2" x14ac:dyDescent="0.3">
      <c r="A181" s="8" t="s">
        <v>44</v>
      </c>
      <c r="B181" s="2">
        <v>28</v>
      </c>
    </row>
    <row r="182" spans="1:2" x14ac:dyDescent="0.3">
      <c r="A182" s="8" t="s">
        <v>45</v>
      </c>
      <c r="B182" s="2">
        <v>0.99918700000000005</v>
      </c>
    </row>
    <row r="183" spans="1:2" ht="15" thickBot="1" x14ac:dyDescent="0.35">
      <c r="A183" s="9" t="s">
        <v>46</v>
      </c>
      <c r="B183" s="6">
        <f>B176/(B180*B182)</f>
        <v>2.6866502660837992</v>
      </c>
    </row>
    <row r="187" spans="1:2" x14ac:dyDescent="0.3">
      <c r="A187" s="11" t="s">
        <v>30</v>
      </c>
      <c r="B187" t="s">
        <v>98</v>
      </c>
    </row>
    <row r="188" spans="1:2" x14ac:dyDescent="0.3">
      <c r="A188" s="11" t="s">
        <v>35</v>
      </c>
      <c r="B188" s="16">
        <v>43845</v>
      </c>
    </row>
    <row r="189" spans="1:2" x14ac:dyDescent="0.3">
      <c r="A189" s="11" t="s">
        <v>36</v>
      </c>
      <c r="B189" s="19" t="s">
        <v>99</v>
      </c>
    </row>
    <row r="190" spans="1:2" ht="15" thickBot="1" x14ac:dyDescent="0.35"/>
    <row r="191" spans="1:2" x14ac:dyDescent="0.3">
      <c r="A191" s="163" t="s">
        <v>37</v>
      </c>
      <c r="B191" s="164"/>
    </row>
    <row r="192" spans="1:2" x14ac:dyDescent="0.3">
      <c r="A192" s="3"/>
      <c r="B192" s="7"/>
    </row>
    <row r="193" spans="1:2" x14ac:dyDescent="0.3">
      <c r="A193" s="8" t="s">
        <v>52</v>
      </c>
      <c r="B193" s="18">
        <v>305.10000000000002</v>
      </c>
    </row>
    <row r="194" spans="1:2" x14ac:dyDescent="0.3">
      <c r="A194" s="8" t="s">
        <v>38</v>
      </c>
      <c r="B194" s="2">
        <v>169.9</v>
      </c>
    </row>
    <row r="195" spans="1:2" x14ac:dyDescent="0.3">
      <c r="A195" s="8" t="s">
        <v>41</v>
      </c>
      <c r="B195" s="2">
        <f>B193-B194</f>
        <v>135.20000000000002</v>
      </c>
    </row>
    <row r="196" spans="1:2" x14ac:dyDescent="0.3">
      <c r="A196" s="8" t="s">
        <v>40</v>
      </c>
      <c r="B196" s="2">
        <v>667.9</v>
      </c>
    </row>
    <row r="197" spans="1:2" ht="28.8" x14ac:dyDescent="0.3">
      <c r="A197" s="17" t="s">
        <v>42</v>
      </c>
      <c r="B197" s="18">
        <f>B195+B196</f>
        <v>803.1</v>
      </c>
    </row>
    <row r="198" spans="1:2" x14ac:dyDescent="0.3">
      <c r="A198" s="8" t="s">
        <v>51</v>
      </c>
      <c r="B198" s="2">
        <v>753.1</v>
      </c>
    </row>
    <row r="199" spans="1:2" x14ac:dyDescent="0.3">
      <c r="A199" s="8" t="s">
        <v>43</v>
      </c>
      <c r="B199" s="2">
        <f>B197-B198</f>
        <v>50</v>
      </c>
    </row>
    <row r="200" spans="1:2" x14ac:dyDescent="0.3">
      <c r="A200" s="8" t="s">
        <v>44</v>
      </c>
      <c r="B200" s="2">
        <v>28</v>
      </c>
    </row>
    <row r="201" spans="1:2" x14ac:dyDescent="0.3">
      <c r="A201" s="8" t="s">
        <v>45</v>
      </c>
      <c r="B201" s="2">
        <v>0.99918700000000005</v>
      </c>
    </row>
    <row r="202" spans="1:2" ht="15" thickBot="1" x14ac:dyDescent="0.35">
      <c r="A202" s="9" t="s">
        <v>46</v>
      </c>
      <c r="B202" s="6">
        <f>B195/(B199*B201)</f>
        <v>2.706200140714401</v>
      </c>
    </row>
    <row r="206" spans="1:2" x14ac:dyDescent="0.3">
      <c r="A206" s="11" t="s">
        <v>30</v>
      </c>
      <c r="B206" t="s">
        <v>98</v>
      </c>
    </row>
    <row r="207" spans="1:2" x14ac:dyDescent="0.3">
      <c r="A207" s="11" t="s">
        <v>35</v>
      </c>
      <c r="B207" s="16">
        <v>43845</v>
      </c>
    </row>
    <row r="208" spans="1:2" x14ac:dyDescent="0.3">
      <c r="A208" s="11" t="s">
        <v>36</v>
      </c>
      <c r="B208" s="19" t="s">
        <v>100</v>
      </c>
    </row>
    <row r="209" spans="1:2" ht="15" thickBot="1" x14ac:dyDescent="0.35"/>
    <row r="210" spans="1:2" x14ac:dyDescent="0.3">
      <c r="A210" s="163" t="s">
        <v>37</v>
      </c>
      <c r="B210" s="164"/>
    </row>
    <row r="211" spans="1:2" x14ac:dyDescent="0.3">
      <c r="A211" s="3"/>
      <c r="B211" s="7"/>
    </row>
    <row r="212" spans="1:2" x14ac:dyDescent="0.3">
      <c r="A212" s="8" t="s">
        <v>55</v>
      </c>
      <c r="B212" s="18">
        <v>316.8</v>
      </c>
    </row>
    <row r="213" spans="1:2" x14ac:dyDescent="0.3">
      <c r="A213" s="8" t="s">
        <v>38</v>
      </c>
      <c r="B213" s="2">
        <v>170.3</v>
      </c>
    </row>
    <row r="214" spans="1:2" x14ac:dyDescent="0.3">
      <c r="A214" s="8" t="s">
        <v>41</v>
      </c>
      <c r="B214" s="2">
        <f>B212-B213</f>
        <v>146.5</v>
      </c>
    </row>
    <row r="215" spans="1:2" x14ac:dyDescent="0.3">
      <c r="A215" s="8" t="s">
        <v>40</v>
      </c>
      <c r="B215" s="2">
        <v>669.4</v>
      </c>
    </row>
    <row r="216" spans="1:2" ht="28.8" x14ac:dyDescent="0.3">
      <c r="A216" s="17" t="s">
        <v>42</v>
      </c>
      <c r="B216" s="18">
        <f>B214+B215</f>
        <v>815.9</v>
      </c>
    </row>
    <row r="217" spans="1:2" x14ac:dyDescent="0.3">
      <c r="A217" s="8" t="s">
        <v>51</v>
      </c>
      <c r="B217" s="2">
        <v>760.3</v>
      </c>
    </row>
    <row r="218" spans="1:2" x14ac:dyDescent="0.3">
      <c r="A218" s="8" t="s">
        <v>43</v>
      </c>
      <c r="B218" s="2">
        <f>B216-B217</f>
        <v>55.600000000000023</v>
      </c>
    </row>
    <row r="219" spans="1:2" x14ac:dyDescent="0.3">
      <c r="A219" s="8" t="s">
        <v>44</v>
      </c>
      <c r="B219" s="2">
        <v>28</v>
      </c>
    </row>
    <row r="220" spans="1:2" x14ac:dyDescent="0.3">
      <c r="A220" s="8" t="s">
        <v>45</v>
      </c>
      <c r="B220" s="2">
        <v>0.99918700000000005</v>
      </c>
    </row>
    <row r="221" spans="1:2" ht="15" thickBot="1" x14ac:dyDescent="0.35">
      <c r="A221" s="9" t="s">
        <v>46</v>
      </c>
      <c r="B221" s="6">
        <f>B214/(B218*B220)</f>
        <v>2.6370359965961669</v>
      </c>
    </row>
    <row r="223" spans="1:2" x14ac:dyDescent="0.3">
      <c r="A223" s="11" t="s">
        <v>81</v>
      </c>
      <c r="B223" t="s">
        <v>101</v>
      </c>
    </row>
    <row r="224" spans="1:2" x14ac:dyDescent="0.3">
      <c r="A224" s="11" t="s">
        <v>35</v>
      </c>
      <c r="B224" s="16">
        <v>43845</v>
      </c>
    </row>
    <row r="225" spans="1:2" x14ac:dyDescent="0.3">
      <c r="A225" s="11" t="s">
        <v>36</v>
      </c>
      <c r="B225" s="19" t="s">
        <v>102</v>
      </c>
    </row>
    <row r="226" spans="1:2" ht="15" thickBot="1" x14ac:dyDescent="0.35"/>
    <row r="227" spans="1:2" x14ac:dyDescent="0.3">
      <c r="A227" s="163" t="s">
        <v>37</v>
      </c>
      <c r="B227" s="164"/>
    </row>
    <row r="228" spans="1:2" x14ac:dyDescent="0.3">
      <c r="A228" s="3"/>
      <c r="B228" s="20"/>
    </row>
    <row r="229" spans="1:2" x14ac:dyDescent="0.3">
      <c r="A229" s="8" t="s">
        <v>52</v>
      </c>
      <c r="B229" s="18">
        <v>307.3</v>
      </c>
    </row>
    <row r="230" spans="1:2" x14ac:dyDescent="0.3">
      <c r="A230" s="8" t="s">
        <v>38</v>
      </c>
      <c r="B230" s="2">
        <v>172.4</v>
      </c>
    </row>
    <row r="231" spans="1:2" x14ac:dyDescent="0.3">
      <c r="A231" s="8" t="s">
        <v>41</v>
      </c>
      <c r="B231" s="2">
        <f>B229-B230</f>
        <v>134.9</v>
      </c>
    </row>
    <row r="232" spans="1:2" x14ac:dyDescent="0.3">
      <c r="A232" s="8" t="s">
        <v>40</v>
      </c>
      <c r="B232" s="2">
        <v>669.2</v>
      </c>
    </row>
    <row r="233" spans="1:2" ht="28.8" x14ac:dyDescent="0.3">
      <c r="A233" s="17" t="s">
        <v>42</v>
      </c>
      <c r="B233" s="18">
        <f>B231+B232</f>
        <v>804.1</v>
      </c>
    </row>
    <row r="234" spans="1:2" x14ac:dyDescent="0.3">
      <c r="A234" s="8" t="s">
        <v>51</v>
      </c>
      <c r="B234" s="2">
        <v>753</v>
      </c>
    </row>
    <row r="235" spans="1:2" x14ac:dyDescent="0.3">
      <c r="A235" s="8" t="s">
        <v>43</v>
      </c>
      <c r="B235" s="2">
        <f>B233-B234</f>
        <v>51.100000000000023</v>
      </c>
    </row>
    <row r="236" spans="1:2" x14ac:dyDescent="0.3">
      <c r="A236" s="8" t="s">
        <v>44</v>
      </c>
      <c r="B236" s="2">
        <v>28</v>
      </c>
    </row>
    <row r="237" spans="1:2" x14ac:dyDescent="0.3">
      <c r="A237" s="8" t="s">
        <v>45</v>
      </c>
      <c r="B237" s="2">
        <v>0.99918700000000005</v>
      </c>
    </row>
    <row r="238" spans="1:2" ht="15" thickBot="1" x14ac:dyDescent="0.35">
      <c r="A238" s="9" t="s">
        <v>46</v>
      </c>
      <c r="B238" s="6">
        <f>B231/(B235*B237)</f>
        <v>2.642069724799764</v>
      </c>
    </row>
    <row r="242" spans="1:2" x14ac:dyDescent="0.3">
      <c r="A242" s="11" t="s">
        <v>81</v>
      </c>
      <c r="B242" t="s">
        <v>101</v>
      </c>
    </row>
    <row r="243" spans="1:2" x14ac:dyDescent="0.3">
      <c r="A243" s="11" t="s">
        <v>35</v>
      </c>
      <c r="B243" s="16">
        <v>43845</v>
      </c>
    </row>
    <row r="244" spans="1:2" x14ac:dyDescent="0.3">
      <c r="A244" s="11" t="s">
        <v>36</v>
      </c>
      <c r="B244" s="19" t="s">
        <v>103</v>
      </c>
    </row>
    <row r="245" spans="1:2" ht="15" thickBot="1" x14ac:dyDescent="0.35"/>
    <row r="246" spans="1:2" x14ac:dyDescent="0.3">
      <c r="A246" s="163" t="s">
        <v>37</v>
      </c>
      <c r="B246" s="164"/>
    </row>
    <row r="247" spans="1:2" x14ac:dyDescent="0.3">
      <c r="A247" s="3"/>
      <c r="B247" s="20"/>
    </row>
    <row r="248" spans="1:2" x14ac:dyDescent="0.3">
      <c r="A248" s="8" t="s">
        <v>55</v>
      </c>
      <c r="B248" s="18">
        <v>316.39999999999998</v>
      </c>
    </row>
    <row r="249" spans="1:2" x14ac:dyDescent="0.3">
      <c r="A249" s="8" t="s">
        <v>38</v>
      </c>
      <c r="B249" s="2">
        <v>162.5</v>
      </c>
    </row>
    <row r="250" spans="1:2" x14ac:dyDescent="0.3">
      <c r="A250" s="8" t="s">
        <v>41</v>
      </c>
      <c r="B250" s="2">
        <f>B248-B249</f>
        <v>153.89999999999998</v>
      </c>
    </row>
    <row r="251" spans="1:2" x14ac:dyDescent="0.3">
      <c r="A251" s="8" t="s">
        <v>40</v>
      </c>
      <c r="B251" s="2">
        <v>668.9</v>
      </c>
    </row>
    <row r="252" spans="1:2" ht="28.8" x14ac:dyDescent="0.3">
      <c r="A252" s="17" t="s">
        <v>42</v>
      </c>
      <c r="B252" s="18">
        <f>B250+B251</f>
        <v>822.8</v>
      </c>
    </row>
    <row r="253" spans="1:2" x14ac:dyDescent="0.3">
      <c r="A253" s="8" t="s">
        <v>51</v>
      </c>
      <c r="B253" s="2">
        <v>764.8</v>
      </c>
    </row>
    <row r="254" spans="1:2" x14ac:dyDescent="0.3">
      <c r="A254" s="8" t="s">
        <v>43</v>
      </c>
      <c r="B254" s="2">
        <f>B252-B253</f>
        <v>58</v>
      </c>
    </row>
    <row r="255" spans="1:2" x14ac:dyDescent="0.3">
      <c r="A255" s="8" t="s">
        <v>44</v>
      </c>
      <c r="B255" s="2">
        <v>28</v>
      </c>
    </row>
    <row r="256" spans="1:2" x14ac:dyDescent="0.3">
      <c r="A256" s="8" t="s">
        <v>45</v>
      </c>
      <c r="B256" s="2">
        <v>0.99918700000000005</v>
      </c>
    </row>
    <row r="257" spans="1:2" ht="15" thickBot="1" x14ac:dyDescent="0.35">
      <c r="A257" s="9" t="s">
        <v>46</v>
      </c>
      <c r="B257" s="6">
        <f>B250/(B254*B256)</f>
        <v>2.6556072845844358</v>
      </c>
    </row>
    <row r="259" spans="1:2" x14ac:dyDescent="0.3">
      <c r="A259" s="11" t="s">
        <v>84</v>
      </c>
      <c r="B259" t="s">
        <v>104</v>
      </c>
    </row>
    <row r="260" spans="1:2" x14ac:dyDescent="0.3">
      <c r="A260" s="11" t="s">
        <v>35</v>
      </c>
      <c r="B260" s="16">
        <v>43812</v>
      </c>
    </row>
    <row r="261" spans="1:2" x14ac:dyDescent="0.3">
      <c r="A261" s="11" t="s">
        <v>36</v>
      </c>
      <c r="B261" s="19" t="s">
        <v>105</v>
      </c>
    </row>
    <row r="262" spans="1:2" ht="15" thickBot="1" x14ac:dyDescent="0.35"/>
    <row r="263" spans="1:2" x14ac:dyDescent="0.3">
      <c r="A263" s="163" t="s">
        <v>37</v>
      </c>
      <c r="B263" s="164"/>
    </row>
    <row r="264" spans="1:2" x14ac:dyDescent="0.3">
      <c r="A264" s="3"/>
      <c r="B264" s="20"/>
    </row>
    <row r="265" spans="1:2" x14ac:dyDescent="0.3">
      <c r="A265" s="8" t="s">
        <v>52</v>
      </c>
      <c r="B265" s="18">
        <v>303.10000000000002</v>
      </c>
    </row>
    <row r="266" spans="1:2" x14ac:dyDescent="0.3">
      <c r="A266" s="8" t="s">
        <v>38</v>
      </c>
      <c r="B266" s="2">
        <v>169.9</v>
      </c>
    </row>
    <row r="267" spans="1:2" x14ac:dyDescent="0.3">
      <c r="A267" s="8" t="s">
        <v>41</v>
      </c>
      <c r="B267" s="2">
        <f>B265-B266</f>
        <v>133.20000000000002</v>
      </c>
    </row>
    <row r="268" spans="1:2" x14ac:dyDescent="0.3">
      <c r="A268" s="8" t="s">
        <v>40</v>
      </c>
      <c r="B268" s="2">
        <v>667.8</v>
      </c>
    </row>
    <row r="269" spans="1:2" ht="28.8" x14ac:dyDescent="0.3">
      <c r="A269" s="17" t="s">
        <v>42</v>
      </c>
      <c r="B269" s="18">
        <f>B267+B268</f>
        <v>801</v>
      </c>
    </row>
    <row r="270" spans="1:2" x14ac:dyDescent="0.3">
      <c r="A270" s="8" t="s">
        <v>51</v>
      </c>
      <c r="B270" s="2">
        <v>750.2</v>
      </c>
    </row>
    <row r="271" spans="1:2" x14ac:dyDescent="0.3">
      <c r="A271" s="8" t="s">
        <v>43</v>
      </c>
      <c r="B271" s="2">
        <f>B269-B270</f>
        <v>50.799999999999955</v>
      </c>
    </row>
    <row r="272" spans="1:2" x14ac:dyDescent="0.3">
      <c r="A272" s="8" t="s">
        <v>44</v>
      </c>
      <c r="B272" s="2">
        <v>28</v>
      </c>
    </row>
    <row r="273" spans="1:2" x14ac:dyDescent="0.3">
      <c r="A273" s="8" t="s">
        <v>45</v>
      </c>
      <c r="B273" s="2">
        <v>0.99918700000000005</v>
      </c>
    </row>
    <row r="274" spans="1:2" ht="15" thickBot="1" x14ac:dyDescent="0.35">
      <c r="A274" s="9" t="s">
        <v>46</v>
      </c>
      <c r="B274" s="6">
        <f>B267/(B271*B273)</f>
        <v>2.6241807030060347</v>
      </c>
    </row>
    <row r="278" spans="1:2" x14ac:dyDescent="0.3">
      <c r="A278" s="11" t="s">
        <v>84</v>
      </c>
      <c r="B278" t="s">
        <v>104</v>
      </c>
    </row>
    <row r="279" spans="1:2" x14ac:dyDescent="0.3">
      <c r="A279" s="11" t="s">
        <v>35</v>
      </c>
      <c r="B279" s="16">
        <v>43812</v>
      </c>
    </row>
    <row r="280" spans="1:2" x14ac:dyDescent="0.3">
      <c r="A280" s="11" t="s">
        <v>36</v>
      </c>
      <c r="B280" s="19" t="s">
        <v>106</v>
      </c>
    </row>
    <row r="281" spans="1:2" ht="15" thickBot="1" x14ac:dyDescent="0.35"/>
    <row r="282" spans="1:2" x14ac:dyDescent="0.3">
      <c r="A282" s="163" t="s">
        <v>37</v>
      </c>
      <c r="B282" s="164"/>
    </row>
    <row r="283" spans="1:2" x14ac:dyDescent="0.3">
      <c r="A283" s="3"/>
      <c r="B283" s="20"/>
    </row>
    <row r="284" spans="1:2" x14ac:dyDescent="0.3">
      <c r="A284" s="8" t="s">
        <v>55</v>
      </c>
      <c r="B284" s="18">
        <v>316.7</v>
      </c>
    </row>
    <row r="285" spans="1:2" x14ac:dyDescent="0.3">
      <c r="A285" s="8" t="s">
        <v>38</v>
      </c>
      <c r="B285" s="2">
        <v>171.3</v>
      </c>
    </row>
    <row r="286" spans="1:2" x14ac:dyDescent="0.3">
      <c r="A286" s="8" t="s">
        <v>41</v>
      </c>
      <c r="B286" s="2">
        <f>B284-B285</f>
        <v>145.39999999999998</v>
      </c>
    </row>
    <row r="287" spans="1:2" x14ac:dyDescent="0.3">
      <c r="A287" s="8" t="s">
        <v>40</v>
      </c>
      <c r="B287" s="2">
        <v>669.2</v>
      </c>
    </row>
    <row r="288" spans="1:2" ht="28.8" x14ac:dyDescent="0.3">
      <c r="A288" s="17" t="s">
        <v>42</v>
      </c>
      <c r="B288" s="18">
        <f>B286+B287</f>
        <v>814.6</v>
      </c>
    </row>
    <row r="289" spans="1:2" x14ac:dyDescent="0.3">
      <c r="A289" s="8" t="s">
        <v>51</v>
      </c>
      <c r="B289" s="2">
        <v>760.1</v>
      </c>
    </row>
    <row r="290" spans="1:2" x14ac:dyDescent="0.3">
      <c r="A290" s="8" t="s">
        <v>43</v>
      </c>
      <c r="B290" s="2">
        <f>B288-B289</f>
        <v>54.5</v>
      </c>
    </row>
    <row r="291" spans="1:2" x14ac:dyDescent="0.3">
      <c r="A291" s="8" t="s">
        <v>44</v>
      </c>
      <c r="B291" s="2">
        <v>28</v>
      </c>
    </row>
    <row r="292" spans="1:2" x14ac:dyDescent="0.3">
      <c r="A292" s="8" t="s">
        <v>45</v>
      </c>
      <c r="B292" s="2">
        <v>0.99918700000000005</v>
      </c>
    </row>
    <row r="293" spans="1:2" ht="15" thickBot="1" x14ac:dyDescent="0.35">
      <c r="A293" s="9" t="s">
        <v>46</v>
      </c>
      <c r="B293" s="6">
        <f>B286/(B290*B292)</f>
        <v>2.6700606675796226</v>
      </c>
    </row>
  </sheetData>
  <mergeCells count="16">
    <mergeCell ref="A246:B246"/>
    <mergeCell ref="A263:B263"/>
    <mergeCell ref="A282:B282"/>
    <mergeCell ref="A5:B5"/>
    <mergeCell ref="A24:B24"/>
    <mergeCell ref="A43:B43"/>
    <mergeCell ref="A62:B62"/>
    <mergeCell ref="A227:B227"/>
    <mergeCell ref="A153:B153"/>
    <mergeCell ref="A172:B172"/>
    <mergeCell ref="A191:B191"/>
    <mergeCell ref="A210:B210"/>
    <mergeCell ref="A79:B79"/>
    <mergeCell ref="A98:B98"/>
    <mergeCell ref="A117:B117"/>
    <mergeCell ref="A136:B13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2:I154"/>
  <sheetViews>
    <sheetView topLeftCell="A121" zoomScale="85" zoomScaleNormal="85" workbookViewId="0">
      <selection activeCell="B15" sqref="B15"/>
    </sheetView>
  </sheetViews>
  <sheetFormatPr defaultRowHeight="14.4" x14ac:dyDescent="0.3"/>
  <cols>
    <col min="1" max="1" width="32.5546875" customWidth="1"/>
    <col min="2" max="2" width="14" customWidth="1"/>
    <col min="3" max="3" width="13.6640625" customWidth="1"/>
  </cols>
  <sheetData>
    <row r="2" spans="1:9" ht="59.4" customHeight="1" x14ac:dyDescent="0.3">
      <c r="A2" s="14" t="s">
        <v>0</v>
      </c>
      <c r="B2" s="168" t="s">
        <v>57</v>
      </c>
      <c r="C2" s="168"/>
      <c r="D2" s="168"/>
      <c r="E2" s="168"/>
      <c r="F2" s="168"/>
    </row>
    <row r="3" spans="1:9" x14ac:dyDescent="0.3">
      <c r="A3" s="15" t="s">
        <v>7</v>
      </c>
      <c r="B3" s="169" t="s">
        <v>75</v>
      </c>
      <c r="C3" s="170"/>
      <c r="D3" s="170"/>
      <c r="E3" s="170"/>
      <c r="F3" s="171"/>
    </row>
    <row r="4" spans="1:9" x14ac:dyDescent="0.3">
      <c r="B4" s="10"/>
      <c r="C4" s="10"/>
      <c r="D4" s="10"/>
      <c r="E4" s="10"/>
      <c r="F4" s="10"/>
    </row>
    <row r="5" spans="1:9" x14ac:dyDescent="0.3">
      <c r="A5" s="11" t="s">
        <v>16</v>
      </c>
      <c r="B5" t="s">
        <v>58</v>
      </c>
      <c r="D5" s="10"/>
      <c r="E5" s="10"/>
      <c r="F5" s="10"/>
    </row>
    <row r="6" spans="1:9" ht="15" thickBot="1" x14ac:dyDescent="0.35">
      <c r="D6" s="10"/>
      <c r="E6" s="10"/>
      <c r="F6" s="10"/>
    </row>
    <row r="7" spans="1:9" x14ac:dyDescent="0.3">
      <c r="A7" s="163" t="s">
        <v>59</v>
      </c>
      <c r="B7" s="164"/>
      <c r="C7" s="164"/>
      <c r="D7" s="10"/>
      <c r="E7" s="10"/>
      <c r="F7" s="10"/>
    </row>
    <row r="8" spans="1:9" x14ac:dyDescent="0.3">
      <c r="A8" s="3"/>
      <c r="B8" s="166" t="s">
        <v>8</v>
      </c>
      <c r="C8" s="166"/>
      <c r="D8" s="10"/>
      <c r="E8" s="10"/>
      <c r="F8" s="10"/>
    </row>
    <row r="9" spans="1:9" x14ac:dyDescent="0.3">
      <c r="A9" s="8" t="s">
        <v>4</v>
      </c>
      <c r="B9" s="1" t="s">
        <v>63</v>
      </c>
      <c r="C9" s="1" t="s">
        <v>6</v>
      </c>
      <c r="D9" s="10"/>
      <c r="E9" s="10"/>
      <c r="F9" s="21"/>
      <c r="I9" t="s">
        <v>62</v>
      </c>
    </row>
    <row r="10" spans="1:9" x14ac:dyDescent="0.3">
      <c r="A10" s="8" t="s">
        <v>10</v>
      </c>
      <c r="B10" s="2">
        <v>95.7</v>
      </c>
      <c r="C10" s="2">
        <v>114.6</v>
      </c>
      <c r="D10" s="10"/>
      <c r="E10" s="10"/>
      <c r="F10" s="12"/>
    </row>
    <row r="11" spans="1:9" x14ac:dyDescent="0.3">
      <c r="A11" s="8" t="s">
        <v>60</v>
      </c>
      <c r="B11" s="2">
        <v>182</v>
      </c>
      <c r="C11" s="2">
        <v>173.7</v>
      </c>
      <c r="D11" s="10"/>
      <c r="E11" s="10"/>
      <c r="F11" s="12"/>
    </row>
    <row r="12" spans="1:9" x14ac:dyDescent="0.3">
      <c r="A12" s="8" t="s">
        <v>61</v>
      </c>
      <c r="B12" s="2">
        <v>177.2</v>
      </c>
      <c r="C12" s="2">
        <v>170</v>
      </c>
      <c r="D12" s="10"/>
      <c r="E12" s="10"/>
      <c r="F12" s="12"/>
    </row>
    <row r="13" spans="1:9" x14ac:dyDescent="0.3">
      <c r="A13" s="8" t="s">
        <v>64</v>
      </c>
      <c r="B13" s="2">
        <f>B11-B12</f>
        <v>4.8000000000000114</v>
      </c>
      <c r="C13" s="2">
        <f>C11-C12</f>
        <v>3.6999999999999886</v>
      </c>
      <c r="D13" s="10"/>
      <c r="E13" s="10"/>
      <c r="F13" s="12"/>
    </row>
    <row r="14" spans="1:9" x14ac:dyDescent="0.3">
      <c r="A14" s="8" t="s">
        <v>65</v>
      </c>
      <c r="B14" s="2">
        <f>B12-B10</f>
        <v>81.499999999999986</v>
      </c>
      <c r="C14" s="2">
        <f>C12-C10</f>
        <v>55.400000000000006</v>
      </c>
      <c r="D14" s="10"/>
      <c r="E14" s="10"/>
      <c r="F14" s="12"/>
    </row>
    <row r="15" spans="1:9" ht="15" thickBot="1" x14ac:dyDescent="0.35">
      <c r="A15" s="9" t="s">
        <v>66</v>
      </c>
      <c r="B15" s="6">
        <f>(B13/(B14))*100</f>
        <v>5.8895705521472541</v>
      </c>
      <c r="C15" s="6">
        <f>(C13/(C14))*100</f>
        <v>6.6787003610108089</v>
      </c>
      <c r="D15" s="10"/>
      <c r="E15" s="10"/>
      <c r="F15" s="12"/>
    </row>
    <row r="16" spans="1:9" x14ac:dyDescent="0.3">
      <c r="F16" s="12"/>
    </row>
    <row r="17" spans="1:6" x14ac:dyDescent="0.3">
      <c r="F17" s="12"/>
    </row>
    <row r="18" spans="1:6" x14ac:dyDescent="0.3">
      <c r="A18" s="11" t="s">
        <v>20</v>
      </c>
      <c r="B18" t="s">
        <v>67</v>
      </c>
    </row>
    <row r="19" spans="1:6" ht="15" thickBot="1" x14ac:dyDescent="0.35"/>
    <row r="20" spans="1:6" x14ac:dyDescent="0.3">
      <c r="A20" s="163" t="s">
        <v>59</v>
      </c>
      <c r="B20" s="164"/>
      <c r="C20" s="164"/>
    </row>
    <row r="21" spans="1:6" x14ac:dyDescent="0.3">
      <c r="A21" s="3"/>
      <c r="B21" s="166" t="s">
        <v>8</v>
      </c>
      <c r="C21" s="166"/>
    </row>
    <row r="22" spans="1:6" x14ac:dyDescent="0.3">
      <c r="A22" s="8" t="s">
        <v>4</v>
      </c>
      <c r="B22" s="1">
        <v>18</v>
      </c>
      <c r="C22" s="1" t="s">
        <v>5</v>
      </c>
    </row>
    <row r="23" spans="1:6" x14ac:dyDescent="0.3">
      <c r="A23" s="8" t="s">
        <v>10</v>
      </c>
      <c r="B23" s="2">
        <v>159.69999999999999</v>
      </c>
      <c r="C23" s="2">
        <v>123.5</v>
      </c>
    </row>
    <row r="24" spans="1:6" x14ac:dyDescent="0.3">
      <c r="A24" s="8" t="s">
        <v>60</v>
      </c>
      <c r="B24" s="2">
        <v>301</v>
      </c>
      <c r="C24" s="2">
        <v>284.7</v>
      </c>
    </row>
    <row r="25" spans="1:6" x14ac:dyDescent="0.3">
      <c r="A25" s="8" t="s">
        <v>61</v>
      </c>
      <c r="B25" s="2">
        <v>295.2</v>
      </c>
      <c r="C25" s="2">
        <v>279.27</v>
      </c>
    </row>
    <row r="26" spans="1:6" x14ac:dyDescent="0.3">
      <c r="A26" s="8" t="s">
        <v>64</v>
      </c>
      <c r="B26" s="2">
        <f>B24-B25</f>
        <v>5.8000000000000114</v>
      </c>
      <c r="C26" s="2">
        <f>C24-C25</f>
        <v>5.4300000000000068</v>
      </c>
    </row>
    <row r="27" spans="1:6" x14ac:dyDescent="0.3">
      <c r="A27" s="8" t="s">
        <v>65</v>
      </c>
      <c r="B27" s="2">
        <f>B25-B23</f>
        <v>135.5</v>
      </c>
      <c r="C27" s="2">
        <f>C25-C23</f>
        <v>155.76999999999998</v>
      </c>
    </row>
    <row r="28" spans="1:6" ht="15" thickBot="1" x14ac:dyDescent="0.35">
      <c r="A28" s="9" t="s">
        <v>66</v>
      </c>
      <c r="B28" s="6">
        <f>(B26/(B27))*100</f>
        <v>4.2804428044280529</v>
      </c>
      <c r="C28" s="6">
        <f>(C26/(C27))*100</f>
        <v>3.4859087115619234</v>
      </c>
    </row>
    <row r="31" spans="1:6" x14ac:dyDescent="0.3">
      <c r="A31" s="11" t="s">
        <v>21</v>
      </c>
      <c r="B31" t="s">
        <v>17</v>
      </c>
    </row>
    <row r="32" spans="1:6" ht="15" thickBot="1" x14ac:dyDescent="0.35"/>
    <row r="33" spans="1:3" x14ac:dyDescent="0.3">
      <c r="A33" s="163" t="s">
        <v>59</v>
      </c>
      <c r="B33" s="164"/>
      <c r="C33" s="164"/>
    </row>
    <row r="34" spans="1:3" x14ac:dyDescent="0.3">
      <c r="A34" s="3"/>
      <c r="B34" s="166" t="s">
        <v>8</v>
      </c>
      <c r="C34" s="166"/>
    </row>
    <row r="35" spans="1:3" x14ac:dyDescent="0.3">
      <c r="A35" s="8" t="s">
        <v>4</v>
      </c>
      <c r="B35" s="1" t="s">
        <v>68</v>
      </c>
      <c r="C35" s="1" t="s">
        <v>69</v>
      </c>
    </row>
    <row r="36" spans="1:3" x14ac:dyDescent="0.3">
      <c r="A36" s="8" t="s">
        <v>10</v>
      </c>
      <c r="B36" s="2">
        <v>38.130000000000003</v>
      </c>
      <c r="C36" s="2">
        <v>35.53</v>
      </c>
    </row>
    <row r="37" spans="1:3" x14ac:dyDescent="0.3">
      <c r="A37" s="8" t="s">
        <v>11</v>
      </c>
      <c r="B37" s="2">
        <v>275.3</v>
      </c>
      <c r="C37" s="2">
        <v>283.7</v>
      </c>
    </row>
    <row r="38" spans="1:3" x14ac:dyDescent="0.3">
      <c r="A38" s="8" t="s">
        <v>60</v>
      </c>
      <c r="B38" s="2">
        <v>270.23</v>
      </c>
      <c r="C38" s="2">
        <v>278.85000000000002</v>
      </c>
    </row>
    <row r="39" spans="1:3" x14ac:dyDescent="0.3">
      <c r="A39" s="8" t="s">
        <v>71</v>
      </c>
      <c r="B39" s="2">
        <f>B37-B38</f>
        <v>5.0699999999999932</v>
      </c>
      <c r="C39" s="2">
        <f>C37-C38</f>
        <v>4.8499999999999659</v>
      </c>
    </row>
    <row r="40" spans="1:3" x14ac:dyDescent="0.3">
      <c r="A40" s="8" t="s">
        <v>70</v>
      </c>
      <c r="B40" s="2">
        <f>B38-B36</f>
        <v>232.10000000000002</v>
      </c>
      <c r="C40" s="2">
        <f>C38-C36</f>
        <v>243.32000000000002</v>
      </c>
    </row>
    <row r="41" spans="1:3" x14ac:dyDescent="0.3">
      <c r="A41" s="8" t="s">
        <v>72</v>
      </c>
      <c r="B41" s="2">
        <f>(B39/B40)*100</f>
        <v>2.1844032744506645</v>
      </c>
      <c r="C41" s="2">
        <f>(C39/C40)*100</f>
        <v>1.9932599046522954</v>
      </c>
    </row>
    <row r="42" spans="1:3" x14ac:dyDescent="0.3">
      <c r="A42" s="8" t="s">
        <v>59</v>
      </c>
      <c r="B42" s="2"/>
      <c r="C42" s="2"/>
    </row>
    <row r="43" spans="1:3" x14ac:dyDescent="0.3">
      <c r="A43" s="8" t="s">
        <v>4</v>
      </c>
      <c r="B43" s="1" t="s">
        <v>73</v>
      </c>
      <c r="C43" s="22" t="s">
        <v>69</v>
      </c>
    </row>
    <row r="44" spans="1:3" x14ac:dyDescent="0.3">
      <c r="A44" s="8" t="s">
        <v>74</v>
      </c>
      <c r="B44" s="18">
        <v>114.14</v>
      </c>
      <c r="C44" s="18">
        <v>159.55000000000001</v>
      </c>
    </row>
    <row r="45" spans="1:3" x14ac:dyDescent="0.3">
      <c r="A45" s="8" t="s">
        <v>60</v>
      </c>
      <c r="B45" s="18">
        <v>346.99</v>
      </c>
      <c r="C45" s="18">
        <v>403.36</v>
      </c>
    </row>
    <row r="46" spans="1:3" x14ac:dyDescent="0.3">
      <c r="A46" s="8" t="s">
        <v>61</v>
      </c>
      <c r="B46" s="2">
        <v>343.55</v>
      </c>
      <c r="C46" s="2">
        <v>399.7</v>
      </c>
    </row>
    <row r="47" spans="1:3" x14ac:dyDescent="0.3">
      <c r="A47" s="8" t="s">
        <v>64</v>
      </c>
      <c r="B47" s="2">
        <f>B45-B46</f>
        <v>3.4399999999999977</v>
      </c>
      <c r="C47" s="2">
        <f>C45-C46</f>
        <v>3.660000000000025</v>
      </c>
    </row>
    <row r="48" spans="1:3" x14ac:dyDescent="0.3">
      <c r="A48" s="8" t="s">
        <v>65</v>
      </c>
      <c r="B48" s="2">
        <f>B46-B44</f>
        <v>229.41000000000003</v>
      </c>
      <c r="C48" s="2">
        <f>C46-C44</f>
        <v>240.14999999999998</v>
      </c>
    </row>
    <row r="49" spans="1:3" ht="15" thickBot="1" x14ac:dyDescent="0.35">
      <c r="A49" s="9" t="s">
        <v>66</v>
      </c>
      <c r="B49" s="6">
        <f>(B47/(B48))*100</f>
        <v>1.4994987140926714</v>
      </c>
      <c r="C49" s="6">
        <f>(C47/(C48))*100</f>
        <v>1.5240474703310536</v>
      </c>
    </row>
    <row r="52" spans="1:3" x14ac:dyDescent="0.3">
      <c r="A52" s="11" t="s">
        <v>25</v>
      </c>
      <c r="B52" t="s">
        <v>2</v>
      </c>
    </row>
    <row r="53" spans="1:3" ht="15" thickBot="1" x14ac:dyDescent="0.35"/>
    <row r="54" spans="1:3" x14ac:dyDescent="0.3">
      <c r="A54" s="163" t="s">
        <v>59</v>
      </c>
      <c r="B54" s="164"/>
      <c r="C54" s="164"/>
    </row>
    <row r="55" spans="1:3" x14ac:dyDescent="0.3">
      <c r="A55" s="3"/>
      <c r="B55" s="166" t="s">
        <v>8</v>
      </c>
      <c r="C55" s="166"/>
    </row>
    <row r="56" spans="1:3" x14ac:dyDescent="0.3">
      <c r="A56" s="8" t="s">
        <v>4</v>
      </c>
      <c r="B56" s="23" t="s">
        <v>76</v>
      </c>
      <c r="C56" s="1">
        <v>2</v>
      </c>
    </row>
    <row r="57" spans="1:3" x14ac:dyDescent="0.3">
      <c r="A57" s="8" t="s">
        <v>10</v>
      </c>
      <c r="B57" s="2">
        <v>32.1</v>
      </c>
      <c r="C57" s="2">
        <v>30.8</v>
      </c>
    </row>
    <row r="58" spans="1:3" x14ac:dyDescent="0.3">
      <c r="A58" s="8" t="s">
        <v>11</v>
      </c>
      <c r="B58" s="2">
        <v>174.9</v>
      </c>
      <c r="C58" s="2">
        <v>213.1</v>
      </c>
    </row>
    <row r="59" spans="1:3" x14ac:dyDescent="0.3">
      <c r="A59" s="8" t="s">
        <v>60</v>
      </c>
      <c r="B59" s="2">
        <v>170.4</v>
      </c>
      <c r="C59" s="2">
        <v>207.13</v>
      </c>
    </row>
    <row r="60" spans="1:3" x14ac:dyDescent="0.3">
      <c r="A60" s="8" t="s">
        <v>71</v>
      </c>
      <c r="B60" s="2">
        <f>B58-B59</f>
        <v>4.5</v>
      </c>
      <c r="C60" s="2">
        <f>C58-C59</f>
        <v>5.9699999999999989</v>
      </c>
    </row>
    <row r="61" spans="1:3" x14ac:dyDescent="0.3">
      <c r="A61" s="8" t="s">
        <v>70</v>
      </c>
      <c r="B61" s="2">
        <f>B59-B57</f>
        <v>138.30000000000001</v>
      </c>
      <c r="C61" s="2">
        <f>C59-C57</f>
        <v>176.32999999999998</v>
      </c>
    </row>
    <row r="62" spans="1:3" x14ac:dyDescent="0.3">
      <c r="A62" s="8" t="s">
        <v>72</v>
      </c>
      <c r="B62" s="2">
        <f>(B60/B61)*100</f>
        <v>3.2537960954446854</v>
      </c>
      <c r="C62" s="2">
        <f>(C60/C61)*100</f>
        <v>3.3856972721601544</v>
      </c>
    </row>
    <row r="63" spans="1:3" x14ac:dyDescent="0.3">
      <c r="A63" s="8" t="s">
        <v>59</v>
      </c>
      <c r="B63" s="2"/>
      <c r="C63" s="2"/>
    </row>
    <row r="64" spans="1:3" x14ac:dyDescent="0.3">
      <c r="A64" s="8" t="s">
        <v>4</v>
      </c>
      <c r="B64" s="1" t="s">
        <v>76</v>
      </c>
      <c r="C64" s="22">
        <v>2</v>
      </c>
    </row>
    <row r="65" spans="1:3" x14ac:dyDescent="0.3">
      <c r="A65" s="8" t="s">
        <v>74</v>
      </c>
      <c r="B65" s="18">
        <v>105.5</v>
      </c>
      <c r="C65" s="24">
        <v>95.36</v>
      </c>
    </row>
    <row r="66" spans="1:3" x14ac:dyDescent="0.3">
      <c r="A66" s="8" t="s">
        <v>60</v>
      </c>
      <c r="B66" s="18">
        <v>244</v>
      </c>
      <c r="C66" s="24">
        <v>272.24</v>
      </c>
    </row>
    <row r="67" spans="1:3" x14ac:dyDescent="0.3">
      <c r="A67" s="8" t="s">
        <v>61</v>
      </c>
      <c r="B67" s="2">
        <v>238.14</v>
      </c>
      <c r="C67" s="2">
        <v>267.85000000000002</v>
      </c>
    </row>
    <row r="68" spans="1:3" x14ac:dyDescent="0.3">
      <c r="A68" s="8" t="s">
        <v>64</v>
      </c>
      <c r="B68" s="2">
        <f>B66-B67</f>
        <v>5.8600000000000136</v>
      </c>
      <c r="C68" s="2">
        <f>C66-C67</f>
        <v>4.3899999999999864</v>
      </c>
    </row>
    <row r="69" spans="1:3" x14ac:dyDescent="0.3">
      <c r="A69" s="8" t="s">
        <v>65</v>
      </c>
      <c r="B69" s="2">
        <f>B67-B65</f>
        <v>132.63999999999999</v>
      </c>
      <c r="C69" s="2">
        <f>C67-C65</f>
        <v>172.49</v>
      </c>
    </row>
    <row r="70" spans="1:3" ht="15" thickBot="1" x14ac:dyDescent="0.35">
      <c r="A70" s="9" t="s">
        <v>66</v>
      </c>
      <c r="B70" s="26">
        <f>(B68/(B69))*100</f>
        <v>4.4179734620024229</v>
      </c>
      <c r="C70" s="6">
        <f>(C68/(C69))*100</f>
        <v>2.5450750768160395</v>
      </c>
    </row>
    <row r="73" spans="1:3" x14ac:dyDescent="0.3">
      <c r="A73" s="11" t="s">
        <v>77</v>
      </c>
      <c r="B73" t="s">
        <v>22</v>
      </c>
    </row>
    <row r="74" spans="1:3" ht="15" thickBot="1" x14ac:dyDescent="0.35"/>
    <row r="75" spans="1:3" x14ac:dyDescent="0.3">
      <c r="A75" s="163" t="s">
        <v>59</v>
      </c>
      <c r="B75" s="164"/>
      <c r="C75" s="164"/>
    </row>
    <row r="76" spans="1:3" x14ac:dyDescent="0.3">
      <c r="A76" s="3"/>
      <c r="B76" s="166" t="s">
        <v>8</v>
      </c>
      <c r="C76" s="166"/>
    </row>
    <row r="77" spans="1:3" x14ac:dyDescent="0.3">
      <c r="A77" s="8" t="s">
        <v>4</v>
      </c>
      <c r="B77" s="23" t="s">
        <v>29</v>
      </c>
      <c r="C77" s="1" t="s">
        <v>78</v>
      </c>
    </row>
    <row r="78" spans="1:3" x14ac:dyDescent="0.3">
      <c r="A78" s="8" t="s">
        <v>10</v>
      </c>
      <c r="B78" s="2">
        <v>34.200000000000003</v>
      </c>
      <c r="C78" s="2">
        <v>34.92</v>
      </c>
    </row>
    <row r="79" spans="1:3" x14ac:dyDescent="0.3">
      <c r="A79" s="8" t="s">
        <v>11</v>
      </c>
      <c r="B79" s="2">
        <v>266.89999999999998</v>
      </c>
      <c r="C79" s="2">
        <v>332.9</v>
      </c>
    </row>
    <row r="80" spans="1:3" x14ac:dyDescent="0.3">
      <c r="A80" s="8" t="s">
        <v>60</v>
      </c>
      <c r="B80" s="2">
        <v>261.10000000000002</v>
      </c>
      <c r="C80" s="2">
        <v>325.39999999999998</v>
      </c>
    </row>
    <row r="81" spans="1:3" x14ac:dyDescent="0.3">
      <c r="A81" s="8" t="s">
        <v>71</v>
      </c>
      <c r="B81" s="2">
        <f>B79-B80</f>
        <v>5.7999999999999545</v>
      </c>
      <c r="C81" s="2">
        <f>C79-C80</f>
        <v>7.5</v>
      </c>
    </row>
    <row r="82" spans="1:3" x14ac:dyDescent="0.3">
      <c r="A82" s="8" t="s">
        <v>70</v>
      </c>
      <c r="B82" s="2">
        <f>B80-B78</f>
        <v>226.90000000000003</v>
      </c>
      <c r="C82" s="2">
        <f>C80-C78</f>
        <v>290.47999999999996</v>
      </c>
    </row>
    <row r="83" spans="1:3" x14ac:dyDescent="0.3">
      <c r="A83" s="8" t="s">
        <v>72</v>
      </c>
      <c r="B83" s="2">
        <f>(B81/B82)*100</f>
        <v>2.5561921551343998</v>
      </c>
      <c r="C83" s="2">
        <f>(C81/C82)*100</f>
        <v>2.5819333516937486</v>
      </c>
    </row>
    <row r="84" spans="1:3" x14ac:dyDescent="0.3">
      <c r="A84" s="8" t="s">
        <v>59</v>
      </c>
      <c r="B84" s="2"/>
      <c r="C84" s="2"/>
    </row>
    <row r="85" spans="1:3" x14ac:dyDescent="0.3">
      <c r="A85" s="8" t="s">
        <v>4</v>
      </c>
      <c r="B85" s="1" t="s">
        <v>79</v>
      </c>
      <c r="C85" s="22" t="s">
        <v>78</v>
      </c>
    </row>
    <row r="86" spans="1:3" x14ac:dyDescent="0.3">
      <c r="A86" s="8" t="s">
        <v>74</v>
      </c>
      <c r="B86" s="18">
        <v>123.6</v>
      </c>
      <c r="C86" s="24">
        <v>114.2</v>
      </c>
    </row>
    <row r="87" spans="1:3" x14ac:dyDescent="0.3">
      <c r="A87" s="8" t="s">
        <v>60</v>
      </c>
      <c r="B87" s="18">
        <v>350.5</v>
      </c>
      <c r="C87" s="24">
        <v>404.1</v>
      </c>
    </row>
    <row r="88" spans="1:3" x14ac:dyDescent="0.3">
      <c r="A88" s="8" t="s">
        <v>61</v>
      </c>
      <c r="B88" s="2">
        <v>343.66</v>
      </c>
      <c r="C88" s="2">
        <v>396.23</v>
      </c>
    </row>
    <row r="89" spans="1:3" x14ac:dyDescent="0.3">
      <c r="A89" s="8" t="s">
        <v>64</v>
      </c>
      <c r="B89" s="2">
        <f>B87-B88</f>
        <v>6.839999999999975</v>
      </c>
      <c r="C89" s="2">
        <f>C87-C88</f>
        <v>7.8700000000000045</v>
      </c>
    </row>
    <row r="90" spans="1:3" x14ac:dyDescent="0.3">
      <c r="A90" s="8" t="s">
        <v>65</v>
      </c>
      <c r="B90" s="2">
        <f>B88-B86</f>
        <v>220.06000000000003</v>
      </c>
      <c r="C90" s="2">
        <f>C88-C86</f>
        <v>282.03000000000003</v>
      </c>
    </row>
    <row r="91" spans="1:3" ht="15" thickBot="1" x14ac:dyDescent="0.35">
      <c r="A91" s="9" t="s">
        <v>66</v>
      </c>
      <c r="B91" s="6">
        <f>(B89/(B90))*100</f>
        <v>3.1082432063982433</v>
      </c>
      <c r="C91" s="6">
        <f>(C89/(C90))*100</f>
        <v>2.7904832819203644</v>
      </c>
    </row>
    <row r="94" spans="1:3" x14ac:dyDescent="0.3">
      <c r="A94" s="11" t="s">
        <v>30</v>
      </c>
      <c r="B94" t="s">
        <v>80</v>
      </c>
    </row>
    <row r="95" spans="1:3" ht="15" thickBot="1" x14ac:dyDescent="0.35"/>
    <row r="96" spans="1:3" x14ac:dyDescent="0.3">
      <c r="A96" s="163" t="s">
        <v>59</v>
      </c>
      <c r="B96" s="164"/>
      <c r="C96" s="164"/>
    </row>
    <row r="97" spans="1:3" x14ac:dyDescent="0.3">
      <c r="A97" s="3"/>
      <c r="B97" s="166" t="s">
        <v>8</v>
      </c>
      <c r="C97" s="166"/>
    </row>
    <row r="98" spans="1:3" x14ac:dyDescent="0.3">
      <c r="A98" s="8" t="s">
        <v>4</v>
      </c>
      <c r="B98" s="23" t="s">
        <v>85</v>
      </c>
      <c r="C98" s="1" t="s">
        <v>86</v>
      </c>
    </row>
    <row r="99" spans="1:3" x14ac:dyDescent="0.3">
      <c r="A99" s="8" t="s">
        <v>10</v>
      </c>
      <c r="B99" s="2">
        <v>36.5</v>
      </c>
      <c r="C99" s="2">
        <v>35.6</v>
      </c>
    </row>
    <row r="100" spans="1:3" x14ac:dyDescent="0.3">
      <c r="A100" s="8" t="s">
        <v>11</v>
      </c>
      <c r="B100" s="2">
        <v>192.3</v>
      </c>
      <c r="C100" s="2">
        <v>184.9</v>
      </c>
    </row>
    <row r="101" spans="1:3" x14ac:dyDescent="0.3">
      <c r="A101" s="8" t="s">
        <v>60</v>
      </c>
      <c r="B101" s="2">
        <v>182.68</v>
      </c>
      <c r="C101" s="2">
        <v>176.2</v>
      </c>
    </row>
    <row r="102" spans="1:3" x14ac:dyDescent="0.3">
      <c r="A102" s="8" t="s">
        <v>71</v>
      </c>
      <c r="B102" s="2">
        <f>B100-B101</f>
        <v>9.6200000000000045</v>
      </c>
      <c r="C102" s="2">
        <f>C100-C101</f>
        <v>8.7000000000000171</v>
      </c>
    </row>
    <row r="103" spans="1:3" x14ac:dyDescent="0.3">
      <c r="A103" s="8" t="s">
        <v>70</v>
      </c>
      <c r="B103" s="2">
        <f>B101-B99</f>
        <v>146.18</v>
      </c>
      <c r="C103" s="2">
        <f>C101-C99</f>
        <v>140.6</v>
      </c>
    </row>
    <row r="104" spans="1:3" x14ac:dyDescent="0.3">
      <c r="A104" s="8" t="s">
        <v>72</v>
      </c>
      <c r="B104" s="2">
        <f>(B102/B103)*100</f>
        <v>6.5809276234779075</v>
      </c>
      <c r="C104" s="2">
        <f>(C102/C103)*100</f>
        <v>6.1877667140825166</v>
      </c>
    </row>
    <row r="105" spans="1:3" x14ac:dyDescent="0.3">
      <c r="A105" s="8" t="s">
        <v>59</v>
      </c>
      <c r="B105" s="2"/>
      <c r="C105" s="2"/>
    </row>
    <row r="106" spans="1:3" x14ac:dyDescent="0.3">
      <c r="A106" s="8" t="s">
        <v>4</v>
      </c>
      <c r="B106" s="23" t="s">
        <v>85</v>
      </c>
      <c r="C106" s="1" t="s">
        <v>86</v>
      </c>
    </row>
    <row r="107" spans="1:3" x14ac:dyDescent="0.3">
      <c r="A107" s="8" t="s">
        <v>74</v>
      </c>
      <c r="B107" s="18">
        <v>159.5</v>
      </c>
      <c r="C107" s="24">
        <v>105.34</v>
      </c>
    </row>
    <row r="108" spans="1:3" x14ac:dyDescent="0.3">
      <c r="A108" s="8" t="s">
        <v>60</v>
      </c>
      <c r="B108" s="18">
        <v>305.87</v>
      </c>
      <c r="C108" s="24">
        <v>246.69</v>
      </c>
    </row>
    <row r="109" spans="1:3" x14ac:dyDescent="0.3">
      <c r="A109" s="8" t="s">
        <v>61</v>
      </c>
      <c r="B109" s="2">
        <v>289.89999999999998</v>
      </c>
      <c r="C109" s="2">
        <v>238.77</v>
      </c>
    </row>
    <row r="110" spans="1:3" x14ac:dyDescent="0.3">
      <c r="A110" s="8" t="s">
        <v>64</v>
      </c>
      <c r="B110" s="2">
        <f>B108-B109</f>
        <v>15.970000000000027</v>
      </c>
      <c r="C110" s="2">
        <f>C108-C109</f>
        <v>7.9199999999999875</v>
      </c>
    </row>
    <row r="111" spans="1:3" x14ac:dyDescent="0.3">
      <c r="A111" s="8" t="s">
        <v>65</v>
      </c>
      <c r="B111" s="2">
        <f>B109-B107</f>
        <v>130.39999999999998</v>
      </c>
      <c r="C111" s="2">
        <f>C109-C107</f>
        <v>133.43</v>
      </c>
    </row>
    <row r="112" spans="1:3" ht="15" thickBot="1" x14ac:dyDescent="0.35">
      <c r="A112" s="9" t="s">
        <v>66</v>
      </c>
      <c r="B112" s="26">
        <f>(B110/(B111))*100</f>
        <v>12.246932515337447</v>
      </c>
      <c r="C112" s="6">
        <f>(C110/(C111))*100</f>
        <v>5.9356966199505266</v>
      </c>
    </row>
    <row r="115" spans="1:3" x14ac:dyDescent="0.3">
      <c r="A115" s="11" t="s">
        <v>81</v>
      </c>
      <c r="B115" t="s">
        <v>82</v>
      </c>
    </row>
    <row r="116" spans="1:3" ht="15" thickBot="1" x14ac:dyDescent="0.35"/>
    <row r="117" spans="1:3" x14ac:dyDescent="0.3">
      <c r="A117" s="163" t="s">
        <v>59</v>
      </c>
      <c r="B117" s="164"/>
      <c r="C117" s="164"/>
    </row>
    <row r="118" spans="1:3" x14ac:dyDescent="0.3">
      <c r="A118" s="3"/>
      <c r="B118" s="166" t="s">
        <v>8</v>
      </c>
      <c r="C118" s="166"/>
    </row>
    <row r="119" spans="1:3" x14ac:dyDescent="0.3">
      <c r="A119" s="8" t="s">
        <v>4</v>
      </c>
      <c r="B119" s="23" t="s">
        <v>87</v>
      </c>
      <c r="C119" s="1" t="s">
        <v>88</v>
      </c>
    </row>
    <row r="120" spans="1:3" x14ac:dyDescent="0.3">
      <c r="A120" s="8" t="s">
        <v>10</v>
      </c>
      <c r="B120" s="2">
        <v>34.200000000000003</v>
      </c>
      <c r="C120" s="2">
        <v>38.799999999999997</v>
      </c>
    </row>
    <row r="121" spans="1:3" x14ac:dyDescent="0.3">
      <c r="A121" s="8" t="s">
        <v>11</v>
      </c>
      <c r="B121" s="2">
        <v>166.2</v>
      </c>
      <c r="C121" s="2">
        <v>188.1</v>
      </c>
    </row>
    <row r="122" spans="1:3" x14ac:dyDescent="0.3">
      <c r="A122" s="8" t="s">
        <v>60</v>
      </c>
      <c r="B122" s="2">
        <v>134.94999999999999</v>
      </c>
      <c r="C122" s="2">
        <v>172.25</v>
      </c>
    </row>
    <row r="123" spans="1:3" x14ac:dyDescent="0.3">
      <c r="A123" s="8" t="s">
        <v>71</v>
      </c>
      <c r="B123" s="2">
        <f>B121-B122</f>
        <v>31.25</v>
      </c>
      <c r="C123" s="2">
        <f>C121-C122</f>
        <v>15.849999999999994</v>
      </c>
    </row>
    <row r="124" spans="1:3" x14ac:dyDescent="0.3">
      <c r="A124" s="8" t="s">
        <v>70</v>
      </c>
      <c r="B124" s="2">
        <f>B122-B120</f>
        <v>100.74999999999999</v>
      </c>
      <c r="C124" s="2">
        <f>C122-C120</f>
        <v>133.44999999999999</v>
      </c>
    </row>
    <row r="125" spans="1:3" x14ac:dyDescent="0.3">
      <c r="A125" s="8" t="s">
        <v>72</v>
      </c>
      <c r="B125" s="2">
        <f>(B123/B124)*100</f>
        <v>31.01736972704715</v>
      </c>
      <c r="C125" s="2">
        <f>(C123/C124)*100</f>
        <v>11.87710753091045</v>
      </c>
    </row>
    <row r="126" spans="1:3" x14ac:dyDescent="0.3">
      <c r="A126" s="8" t="s">
        <v>59</v>
      </c>
      <c r="B126" s="2"/>
      <c r="C126" s="2"/>
    </row>
    <row r="127" spans="1:3" x14ac:dyDescent="0.3">
      <c r="A127" s="8" t="s">
        <v>4</v>
      </c>
      <c r="B127" s="23" t="s">
        <v>87</v>
      </c>
      <c r="C127" s="1" t="s">
        <v>88</v>
      </c>
    </row>
    <row r="128" spans="1:3" x14ac:dyDescent="0.3">
      <c r="A128" s="8" t="s">
        <v>74</v>
      </c>
      <c r="B128" s="18">
        <v>114.08</v>
      </c>
      <c r="C128" s="24">
        <v>123.37</v>
      </c>
    </row>
    <row r="129" spans="1:3" x14ac:dyDescent="0.3">
      <c r="A129" s="8" t="s">
        <v>60</v>
      </c>
      <c r="B129" s="18">
        <v>214.97</v>
      </c>
      <c r="C129" s="24">
        <v>257.35000000000002</v>
      </c>
    </row>
    <row r="130" spans="1:3" x14ac:dyDescent="0.3">
      <c r="A130" s="8" t="s">
        <v>61</v>
      </c>
      <c r="B130" s="2">
        <v>190.4</v>
      </c>
      <c r="C130" s="2">
        <v>252.18</v>
      </c>
    </row>
    <row r="131" spans="1:3" x14ac:dyDescent="0.3">
      <c r="A131" s="8" t="s">
        <v>64</v>
      </c>
      <c r="B131" s="2">
        <f>B129-B130</f>
        <v>24.569999999999993</v>
      </c>
      <c r="C131" s="2">
        <f>C129-C130</f>
        <v>5.1700000000000159</v>
      </c>
    </row>
    <row r="132" spans="1:3" x14ac:dyDescent="0.3">
      <c r="A132" s="8" t="s">
        <v>65</v>
      </c>
      <c r="B132" s="2">
        <f>B130-B128</f>
        <v>76.320000000000007</v>
      </c>
      <c r="C132" s="2">
        <f>C130-C128</f>
        <v>128.81</v>
      </c>
    </row>
    <row r="133" spans="1:3" ht="15" thickBot="1" x14ac:dyDescent="0.35">
      <c r="A133" s="9" t="s">
        <v>66</v>
      </c>
      <c r="B133" s="26">
        <f>(B131/(B132))*100</f>
        <v>32.193396226415082</v>
      </c>
      <c r="C133" s="6">
        <f>(C131/(C132))*100</f>
        <v>4.0136635354398074</v>
      </c>
    </row>
    <row r="136" spans="1:3" x14ac:dyDescent="0.3">
      <c r="A136" s="11" t="s">
        <v>84</v>
      </c>
      <c r="B136" t="s">
        <v>83</v>
      </c>
    </row>
    <row r="137" spans="1:3" ht="15" thickBot="1" x14ac:dyDescent="0.35"/>
    <row r="138" spans="1:3" x14ac:dyDescent="0.3">
      <c r="A138" s="163" t="s">
        <v>59</v>
      </c>
      <c r="B138" s="164"/>
      <c r="C138" s="164"/>
    </row>
    <row r="139" spans="1:3" x14ac:dyDescent="0.3">
      <c r="A139" s="3"/>
      <c r="B139" s="166" t="s">
        <v>8</v>
      </c>
      <c r="C139" s="166"/>
    </row>
    <row r="140" spans="1:3" x14ac:dyDescent="0.3">
      <c r="A140" s="8" t="s">
        <v>4</v>
      </c>
      <c r="B140" s="23" t="s">
        <v>32</v>
      </c>
      <c r="C140" s="1">
        <v>80</v>
      </c>
    </row>
    <row r="141" spans="1:3" x14ac:dyDescent="0.3">
      <c r="A141" s="8" t="s">
        <v>10</v>
      </c>
      <c r="B141" s="2">
        <v>39</v>
      </c>
      <c r="C141" s="2">
        <v>31.5</v>
      </c>
    </row>
    <row r="142" spans="1:3" x14ac:dyDescent="0.3">
      <c r="A142" s="8" t="s">
        <v>11</v>
      </c>
      <c r="B142" s="2">
        <v>174.9</v>
      </c>
      <c r="C142" s="2">
        <v>175.7</v>
      </c>
    </row>
    <row r="143" spans="1:3" x14ac:dyDescent="0.3">
      <c r="A143" s="8" t="s">
        <v>60</v>
      </c>
      <c r="B143" s="2">
        <v>167.4</v>
      </c>
      <c r="C143" s="2">
        <v>168.9</v>
      </c>
    </row>
    <row r="144" spans="1:3" x14ac:dyDescent="0.3">
      <c r="A144" s="8" t="s">
        <v>71</v>
      </c>
      <c r="B144" s="2">
        <f>B142-B143</f>
        <v>7.5</v>
      </c>
      <c r="C144" s="2">
        <f>C142-C143</f>
        <v>6.7999999999999829</v>
      </c>
    </row>
    <row r="145" spans="1:3" x14ac:dyDescent="0.3">
      <c r="A145" s="8" t="s">
        <v>70</v>
      </c>
      <c r="B145" s="2">
        <f>B143-B141</f>
        <v>128.4</v>
      </c>
      <c r="C145" s="2">
        <f>C143-C141</f>
        <v>137.4</v>
      </c>
    </row>
    <row r="146" spans="1:3" x14ac:dyDescent="0.3">
      <c r="A146" s="8" t="s">
        <v>72</v>
      </c>
      <c r="B146" s="2">
        <f>(B144/B145)*100</f>
        <v>5.8411214953271031</v>
      </c>
      <c r="C146" s="2">
        <f>(C144/C145)*100</f>
        <v>4.9490538573507878</v>
      </c>
    </row>
    <row r="147" spans="1:3" x14ac:dyDescent="0.3">
      <c r="A147" s="8" t="s">
        <v>59</v>
      </c>
      <c r="B147" s="2"/>
      <c r="C147" s="2"/>
    </row>
    <row r="148" spans="1:3" x14ac:dyDescent="0.3">
      <c r="A148" s="8" t="s">
        <v>4</v>
      </c>
      <c r="B148" s="1" t="s">
        <v>32</v>
      </c>
      <c r="C148" s="22">
        <v>80</v>
      </c>
    </row>
    <row r="149" spans="1:3" x14ac:dyDescent="0.3">
      <c r="A149" s="8" t="s">
        <v>74</v>
      </c>
      <c r="B149" s="18">
        <v>95.5</v>
      </c>
      <c r="C149" s="24">
        <v>159.80000000000001</v>
      </c>
    </row>
    <row r="150" spans="1:3" x14ac:dyDescent="0.3">
      <c r="A150" s="8" t="s">
        <v>60</v>
      </c>
      <c r="B150" s="18">
        <v>225</v>
      </c>
      <c r="C150" s="24">
        <v>297.39999999999998</v>
      </c>
    </row>
    <row r="151" spans="1:3" x14ac:dyDescent="0.3">
      <c r="A151" s="8" t="s">
        <v>61</v>
      </c>
      <c r="B151" s="2">
        <v>216.87</v>
      </c>
      <c r="C151" s="2">
        <v>289.31</v>
      </c>
    </row>
    <row r="152" spans="1:3" x14ac:dyDescent="0.3">
      <c r="A152" s="8" t="s">
        <v>64</v>
      </c>
      <c r="B152" s="2">
        <f>B150-B151</f>
        <v>8.1299999999999955</v>
      </c>
      <c r="C152" s="2">
        <f>C150-C151</f>
        <v>8.089999999999975</v>
      </c>
    </row>
    <row r="153" spans="1:3" x14ac:dyDescent="0.3">
      <c r="A153" s="8" t="s">
        <v>65</v>
      </c>
      <c r="B153" s="2">
        <f>B151-B149</f>
        <v>121.37</v>
      </c>
      <c r="C153" s="2">
        <f>C151-C149</f>
        <v>129.51</v>
      </c>
    </row>
    <row r="154" spans="1:3" ht="15" thickBot="1" x14ac:dyDescent="0.35">
      <c r="A154" s="9" t="s">
        <v>66</v>
      </c>
      <c r="B154" s="6">
        <f>(B152/(B153))*100</f>
        <v>6.6985251709648139</v>
      </c>
      <c r="C154" s="6">
        <f>(C152/(C153))*100</f>
        <v>6.246621882480099</v>
      </c>
    </row>
  </sheetData>
  <mergeCells count="18">
    <mergeCell ref="B139:C139"/>
    <mergeCell ref="B76:C76"/>
    <mergeCell ref="A96:C96"/>
    <mergeCell ref="B97:C97"/>
    <mergeCell ref="A117:C117"/>
    <mergeCell ref="B118:C118"/>
    <mergeCell ref="A138:C138"/>
    <mergeCell ref="A75:C75"/>
    <mergeCell ref="B2:F2"/>
    <mergeCell ref="B3:F3"/>
    <mergeCell ref="A7:C7"/>
    <mergeCell ref="B8:C8"/>
    <mergeCell ref="A20:C20"/>
    <mergeCell ref="B21:C21"/>
    <mergeCell ref="A33:C33"/>
    <mergeCell ref="B34:C34"/>
    <mergeCell ref="A54:C54"/>
    <mergeCell ref="B55:C5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/>
  <dimension ref="A3:E179"/>
  <sheetViews>
    <sheetView topLeftCell="A4" workbookViewId="0">
      <selection activeCell="G32" sqref="G32"/>
    </sheetView>
  </sheetViews>
  <sheetFormatPr defaultRowHeight="14.4" x14ac:dyDescent="0.3"/>
  <cols>
    <col min="1" max="1" width="34.44140625" customWidth="1"/>
    <col min="2" max="2" width="14.33203125" customWidth="1"/>
  </cols>
  <sheetData>
    <row r="3" spans="1:5" ht="59.4" customHeight="1" x14ac:dyDescent="0.3">
      <c r="A3" s="14" t="s">
        <v>0</v>
      </c>
      <c r="B3" s="168" t="s">
        <v>57</v>
      </c>
      <c r="C3" s="168"/>
      <c r="D3" s="168"/>
      <c r="E3" s="168"/>
    </row>
    <row r="4" spans="1:5" x14ac:dyDescent="0.3">
      <c r="A4" s="15" t="s">
        <v>109</v>
      </c>
      <c r="B4" s="169"/>
      <c r="C4" s="170"/>
      <c r="D4" s="170"/>
      <c r="E4" s="171"/>
    </row>
    <row r="5" spans="1:5" x14ac:dyDescent="0.3">
      <c r="B5" s="10"/>
      <c r="C5" s="10"/>
      <c r="D5" s="10"/>
      <c r="E5" s="10"/>
    </row>
    <row r="6" spans="1:5" x14ac:dyDescent="0.3">
      <c r="A6" s="11" t="s">
        <v>16</v>
      </c>
      <c r="B6" t="s">
        <v>58</v>
      </c>
      <c r="C6" s="10"/>
      <c r="D6" s="10"/>
      <c r="E6" s="10"/>
    </row>
    <row r="7" spans="1:5" ht="15" thickBot="1" x14ac:dyDescent="0.35">
      <c r="C7" s="10"/>
      <c r="D7" s="10"/>
      <c r="E7" s="10"/>
    </row>
    <row r="8" spans="1:5" x14ac:dyDescent="0.3">
      <c r="A8" s="163" t="s">
        <v>107</v>
      </c>
      <c r="B8" s="165"/>
      <c r="C8" s="10"/>
      <c r="D8" s="10"/>
      <c r="E8" s="10"/>
    </row>
    <row r="9" spans="1:5" x14ac:dyDescent="0.3">
      <c r="A9" s="8" t="s">
        <v>112</v>
      </c>
      <c r="B9" s="29">
        <v>200</v>
      </c>
      <c r="C9" s="10"/>
      <c r="D9" s="10"/>
      <c r="E9" s="10"/>
    </row>
    <row r="10" spans="1:5" x14ac:dyDescent="0.3">
      <c r="A10" s="8" t="s">
        <v>108</v>
      </c>
      <c r="B10" s="30">
        <v>153.5</v>
      </c>
      <c r="C10" s="10"/>
      <c r="D10" s="10"/>
      <c r="E10" s="21"/>
    </row>
    <row r="11" spans="1:5" x14ac:dyDescent="0.3">
      <c r="A11" s="8" t="s">
        <v>110</v>
      </c>
      <c r="B11" s="5">
        <v>361.6</v>
      </c>
      <c r="C11" s="10"/>
      <c r="D11" s="10"/>
      <c r="E11" s="12"/>
    </row>
    <row r="12" spans="1:5" x14ac:dyDescent="0.3">
      <c r="A12" s="8" t="s">
        <v>134</v>
      </c>
      <c r="B12" s="5">
        <v>405.8</v>
      </c>
      <c r="C12" s="10"/>
      <c r="D12" s="10"/>
      <c r="E12" s="12"/>
    </row>
    <row r="13" spans="1:5" x14ac:dyDescent="0.3">
      <c r="A13" s="8" t="s">
        <v>119</v>
      </c>
      <c r="B13" s="5">
        <f>B12-B11</f>
        <v>44.199999999999989</v>
      </c>
      <c r="C13" s="10"/>
      <c r="D13" s="10"/>
      <c r="E13" s="12"/>
    </row>
    <row r="14" spans="1:5" x14ac:dyDescent="0.3">
      <c r="A14" s="8" t="s">
        <v>114</v>
      </c>
      <c r="B14" s="5">
        <v>225</v>
      </c>
      <c r="C14" s="10"/>
      <c r="D14" s="10"/>
      <c r="E14" s="12"/>
    </row>
    <row r="15" spans="1:5" x14ac:dyDescent="0.3">
      <c r="A15" s="8" t="s">
        <v>113</v>
      </c>
      <c r="B15" s="5">
        <f>B14-B9</f>
        <v>25</v>
      </c>
      <c r="C15" s="10"/>
      <c r="D15" s="10"/>
      <c r="E15" s="12"/>
    </row>
    <row r="16" spans="1:5" x14ac:dyDescent="0.3">
      <c r="A16" s="8" t="s">
        <v>115</v>
      </c>
      <c r="B16" s="5">
        <v>53.1</v>
      </c>
      <c r="C16" s="10"/>
      <c r="D16" s="10"/>
      <c r="E16" s="12"/>
    </row>
    <row r="17" spans="1:5" x14ac:dyDescent="0.3">
      <c r="A17" s="27" t="s">
        <v>135</v>
      </c>
      <c r="B17" s="31">
        <v>139.9</v>
      </c>
      <c r="C17" s="10"/>
      <c r="D17" s="10"/>
      <c r="E17" s="12"/>
    </row>
    <row r="18" spans="1:5" x14ac:dyDescent="0.3">
      <c r="A18" s="27" t="s">
        <v>136</v>
      </c>
      <c r="B18" s="31">
        <v>97.6</v>
      </c>
      <c r="C18" s="10"/>
      <c r="D18" s="10"/>
      <c r="E18" s="12"/>
    </row>
    <row r="19" spans="1:5" x14ac:dyDescent="0.3">
      <c r="A19" s="27" t="s">
        <v>149</v>
      </c>
      <c r="B19" s="31">
        <f>B17-B16</f>
        <v>86.800000000000011</v>
      </c>
      <c r="C19" s="10"/>
      <c r="D19" s="10"/>
      <c r="E19" s="12"/>
    </row>
    <row r="20" spans="1:5" x14ac:dyDescent="0.3">
      <c r="A20" s="27" t="s">
        <v>72</v>
      </c>
      <c r="B20" s="31">
        <f>((B17-B18)/(B18-B16))*100</f>
        <v>95.056179775280938</v>
      </c>
      <c r="C20" s="10"/>
      <c r="D20" s="10"/>
      <c r="E20" s="12"/>
    </row>
    <row r="21" spans="1:5" x14ac:dyDescent="0.3">
      <c r="A21" s="8" t="s">
        <v>117</v>
      </c>
      <c r="B21" s="5">
        <f>'Bulk Density'!B19</f>
        <v>1.6120000000000005</v>
      </c>
      <c r="E21" s="12"/>
    </row>
    <row r="22" spans="1:5" x14ac:dyDescent="0.3">
      <c r="A22" s="27" t="s">
        <v>139</v>
      </c>
      <c r="B22" s="36">
        <f>B21*1000</f>
        <v>1612.0000000000005</v>
      </c>
    </row>
    <row r="23" spans="1:5" x14ac:dyDescent="0.3">
      <c r="A23" s="8" t="s">
        <v>137</v>
      </c>
      <c r="B23" s="5">
        <v>2650</v>
      </c>
    </row>
    <row r="24" spans="1:5" x14ac:dyDescent="0.3">
      <c r="A24" s="8" t="s">
        <v>138</v>
      </c>
      <c r="B24" s="5">
        <v>1015</v>
      </c>
    </row>
    <row r="25" spans="1:5" ht="15" thickBot="1" x14ac:dyDescent="0.35">
      <c r="A25" s="9" t="s">
        <v>140</v>
      </c>
      <c r="B25" s="35">
        <f>B23*((B22-B24)/(B23-B24))</f>
        <v>967.6146788990834</v>
      </c>
      <c r="C25" s="12">
        <f>(B21)/(1+(B20/100))*1000</f>
        <v>826.42857142857156</v>
      </c>
    </row>
    <row r="28" spans="1:5" x14ac:dyDescent="0.3">
      <c r="A28" s="11" t="s">
        <v>20</v>
      </c>
      <c r="B28" t="s">
        <v>67</v>
      </c>
      <c r="C28" s="10"/>
      <c r="D28" s="10"/>
    </row>
    <row r="29" spans="1:5" ht="15" thickBot="1" x14ac:dyDescent="0.35">
      <c r="C29" s="10"/>
      <c r="D29" s="10"/>
    </row>
    <row r="30" spans="1:5" x14ac:dyDescent="0.3">
      <c r="A30" s="163" t="s">
        <v>107</v>
      </c>
      <c r="B30" s="165"/>
      <c r="C30" s="10"/>
      <c r="D30" s="10"/>
    </row>
    <row r="31" spans="1:5" x14ac:dyDescent="0.3">
      <c r="A31" s="8" t="s">
        <v>112</v>
      </c>
      <c r="B31" s="29">
        <v>200</v>
      </c>
      <c r="C31" s="10"/>
      <c r="D31" s="10"/>
    </row>
    <row r="32" spans="1:5" x14ac:dyDescent="0.3">
      <c r="A32" s="8" t="s">
        <v>108</v>
      </c>
      <c r="B32" s="30">
        <v>153.30000000000001</v>
      </c>
      <c r="C32" s="10"/>
      <c r="D32" s="10"/>
    </row>
    <row r="33" spans="1:4" x14ac:dyDescent="0.3">
      <c r="A33" s="8" t="s">
        <v>110</v>
      </c>
      <c r="B33" s="5">
        <v>361.4</v>
      </c>
      <c r="C33" s="10"/>
      <c r="D33" s="10"/>
    </row>
    <row r="34" spans="1:4" x14ac:dyDescent="0.3">
      <c r="A34" s="8" t="s">
        <v>134</v>
      </c>
      <c r="B34" s="5">
        <v>408.2</v>
      </c>
      <c r="C34" s="10"/>
      <c r="D34" s="10"/>
    </row>
    <row r="35" spans="1:4" x14ac:dyDescent="0.3">
      <c r="A35" s="8" t="s">
        <v>119</v>
      </c>
      <c r="B35" s="5">
        <f>B34-B33</f>
        <v>46.800000000000011</v>
      </c>
      <c r="C35" s="10"/>
      <c r="D35" s="10"/>
    </row>
    <row r="36" spans="1:4" x14ac:dyDescent="0.3">
      <c r="A36" s="8" t="s">
        <v>114</v>
      </c>
      <c r="B36" s="5">
        <v>225</v>
      </c>
      <c r="C36" s="10"/>
      <c r="D36" s="10"/>
    </row>
    <row r="37" spans="1:4" x14ac:dyDescent="0.3">
      <c r="A37" s="8" t="s">
        <v>113</v>
      </c>
      <c r="B37" s="5">
        <f>B36-B31</f>
        <v>25</v>
      </c>
      <c r="C37" s="10"/>
      <c r="D37" s="10"/>
    </row>
    <row r="38" spans="1:4" x14ac:dyDescent="0.3">
      <c r="A38" s="8" t="s">
        <v>127</v>
      </c>
      <c r="B38" s="5">
        <v>33.200000000000003</v>
      </c>
      <c r="C38" s="10"/>
      <c r="D38" s="10"/>
    </row>
    <row r="39" spans="1:4" x14ac:dyDescent="0.3">
      <c r="A39" s="27" t="s">
        <v>141</v>
      </c>
      <c r="B39" s="31">
        <v>126</v>
      </c>
      <c r="C39" s="10"/>
      <c r="D39" s="10"/>
    </row>
    <row r="40" spans="1:4" x14ac:dyDescent="0.3">
      <c r="A40" s="27" t="s">
        <v>142</v>
      </c>
      <c r="B40" s="31">
        <v>80.099999999999994</v>
      </c>
      <c r="C40" s="10"/>
      <c r="D40" s="10"/>
    </row>
    <row r="41" spans="1:4" x14ac:dyDescent="0.3">
      <c r="A41" s="27" t="s">
        <v>149</v>
      </c>
      <c r="B41" s="31">
        <f>B39-B38</f>
        <v>92.8</v>
      </c>
      <c r="C41" s="10"/>
      <c r="D41" s="10"/>
    </row>
    <row r="42" spans="1:4" x14ac:dyDescent="0.3">
      <c r="A42" s="27" t="s">
        <v>72</v>
      </c>
      <c r="B42" s="31">
        <f>((B39-B40)/(B40-B38))*100</f>
        <v>97.867803837953133</v>
      </c>
      <c r="C42" s="10"/>
      <c r="D42" s="10"/>
    </row>
    <row r="43" spans="1:4" x14ac:dyDescent="0.3">
      <c r="A43" s="8" t="s">
        <v>117</v>
      </c>
      <c r="B43" s="5">
        <f>'Bulk Density'!B35</f>
        <v>1.6620000000000004</v>
      </c>
    </row>
    <row r="44" spans="1:4" x14ac:dyDescent="0.3">
      <c r="A44" s="27" t="s">
        <v>139</v>
      </c>
      <c r="B44" s="5">
        <f>B43*1000</f>
        <v>1662.0000000000005</v>
      </c>
    </row>
    <row r="45" spans="1:4" x14ac:dyDescent="0.3">
      <c r="A45" s="8" t="s">
        <v>137</v>
      </c>
      <c r="B45" s="5">
        <v>2650</v>
      </c>
    </row>
    <row r="46" spans="1:4" x14ac:dyDescent="0.3">
      <c r="A46" s="8" t="s">
        <v>138</v>
      </c>
      <c r="B46" s="5">
        <v>1015</v>
      </c>
    </row>
    <row r="47" spans="1:4" ht="15" thickBot="1" x14ac:dyDescent="0.35">
      <c r="A47" s="9" t="s">
        <v>140</v>
      </c>
      <c r="B47" s="35">
        <f>B45*((B44-B46)/(B45-B46))</f>
        <v>1048.6544342507652</v>
      </c>
      <c r="C47" s="12">
        <f>(B43)/(1+(B42/100))*1000</f>
        <v>839.95474137931024</v>
      </c>
    </row>
    <row r="50" spans="1:4" x14ac:dyDescent="0.3">
      <c r="A50" s="11" t="s">
        <v>21</v>
      </c>
      <c r="B50" t="s">
        <v>17</v>
      </c>
      <c r="C50" s="10"/>
      <c r="D50" s="10"/>
    </row>
    <row r="51" spans="1:4" ht="15" thickBot="1" x14ac:dyDescent="0.35">
      <c r="C51" s="10"/>
      <c r="D51" s="10"/>
    </row>
    <row r="52" spans="1:4" x14ac:dyDescent="0.3">
      <c r="A52" s="163" t="s">
        <v>107</v>
      </c>
      <c r="B52" s="165"/>
      <c r="C52" s="10"/>
      <c r="D52" s="10"/>
    </row>
    <row r="53" spans="1:4" x14ac:dyDescent="0.3">
      <c r="A53" s="8" t="s">
        <v>112</v>
      </c>
      <c r="B53" s="29">
        <v>200</v>
      </c>
      <c r="C53" s="10"/>
      <c r="D53" s="10"/>
    </row>
    <row r="54" spans="1:4" x14ac:dyDescent="0.3">
      <c r="A54" s="8" t="s">
        <v>108</v>
      </c>
      <c r="B54" s="30">
        <v>153.19999999999999</v>
      </c>
      <c r="C54" s="10"/>
      <c r="D54" s="10"/>
    </row>
    <row r="55" spans="1:4" x14ac:dyDescent="0.3">
      <c r="A55" s="8" t="s">
        <v>110</v>
      </c>
      <c r="B55" s="5">
        <v>355</v>
      </c>
      <c r="C55" s="10"/>
      <c r="D55" s="10"/>
    </row>
    <row r="56" spans="1:4" x14ac:dyDescent="0.3">
      <c r="A56" s="8" t="s">
        <v>134</v>
      </c>
      <c r="B56" s="5">
        <v>418.7</v>
      </c>
      <c r="C56" s="10"/>
      <c r="D56" s="10"/>
    </row>
    <row r="57" spans="1:4" x14ac:dyDescent="0.3">
      <c r="A57" s="8" t="s">
        <v>119</v>
      </c>
      <c r="B57" s="5">
        <f>B56-B55</f>
        <v>63.699999999999989</v>
      </c>
      <c r="C57" s="10"/>
      <c r="D57" s="10"/>
    </row>
    <row r="58" spans="1:4" x14ac:dyDescent="0.3">
      <c r="A58" s="8" t="s">
        <v>114</v>
      </c>
      <c r="B58" s="5">
        <v>225</v>
      </c>
      <c r="C58" s="10"/>
      <c r="D58" s="10"/>
    </row>
    <row r="59" spans="1:4" x14ac:dyDescent="0.3">
      <c r="A59" s="8" t="s">
        <v>113</v>
      </c>
      <c r="B59" s="5">
        <f>B58-B53</f>
        <v>25</v>
      </c>
      <c r="C59" s="10"/>
      <c r="D59" s="10"/>
    </row>
    <row r="60" spans="1:4" x14ac:dyDescent="0.3">
      <c r="A60" s="8" t="s">
        <v>125</v>
      </c>
      <c r="B60" s="5">
        <v>49.6</v>
      </c>
      <c r="C60" s="10"/>
      <c r="D60" s="10"/>
    </row>
    <row r="61" spans="1:4" x14ac:dyDescent="0.3">
      <c r="A61" s="27" t="s">
        <v>143</v>
      </c>
      <c r="B61" s="31">
        <v>148.6</v>
      </c>
      <c r="C61" s="10"/>
      <c r="D61" s="10"/>
    </row>
    <row r="62" spans="1:4" x14ac:dyDescent="0.3">
      <c r="A62" s="27" t="s">
        <v>144</v>
      </c>
      <c r="B62" s="31">
        <v>114</v>
      </c>
      <c r="C62" s="10"/>
      <c r="D62" s="10"/>
    </row>
    <row r="63" spans="1:4" x14ac:dyDescent="0.3">
      <c r="A63" s="27" t="s">
        <v>149</v>
      </c>
      <c r="B63" s="31">
        <f>B61-B60</f>
        <v>99</v>
      </c>
      <c r="C63" s="10"/>
      <c r="D63" s="10"/>
    </row>
    <row r="64" spans="1:4" x14ac:dyDescent="0.3">
      <c r="A64" s="27" t="s">
        <v>72</v>
      </c>
      <c r="B64" s="31">
        <f>((B61-B62)/(B62-B60))*100</f>
        <v>53.726708074534145</v>
      </c>
    </row>
    <row r="65" spans="1:3" x14ac:dyDescent="0.3">
      <c r="A65" s="8" t="s">
        <v>117</v>
      </c>
      <c r="B65" s="5">
        <f>'Bulk Density'!B51</f>
        <v>1.8519999999999994</v>
      </c>
    </row>
    <row r="66" spans="1:3" x14ac:dyDescent="0.3">
      <c r="A66" s="27" t="s">
        <v>139</v>
      </c>
      <c r="B66" s="5">
        <f>B65*1000</f>
        <v>1851.9999999999993</v>
      </c>
    </row>
    <row r="67" spans="1:3" x14ac:dyDescent="0.3">
      <c r="A67" s="8" t="s">
        <v>137</v>
      </c>
      <c r="B67" s="5">
        <v>2650</v>
      </c>
    </row>
    <row r="68" spans="1:3" x14ac:dyDescent="0.3">
      <c r="A68" s="8" t="s">
        <v>138</v>
      </c>
      <c r="B68" s="5">
        <v>1015</v>
      </c>
    </row>
    <row r="69" spans="1:3" ht="15" thickBot="1" x14ac:dyDescent="0.35">
      <c r="A69" s="9" t="s">
        <v>140</v>
      </c>
      <c r="B69" s="35">
        <f>B67*((B66-B68)/(B67-B68))</f>
        <v>1356.6055045871547</v>
      </c>
      <c r="C69" s="12">
        <f>(B65)/(1+(B64/100))*1000</f>
        <v>1204.7353535353534</v>
      </c>
    </row>
    <row r="72" spans="1:3" x14ac:dyDescent="0.3">
      <c r="A72" s="11" t="s">
        <v>25</v>
      </c>
      <c r="B72" t="s">
        <v>2</v>
      </c>
      <c r="C72" s="10"/>
    </row>
    <row r="73" spans="1:3" ht="15" thickBot="1" x14ac:dyDescent="0.35">
      <c r="C73" s="10"/>
    </row>
    <row r="74" spans="1:3" x14ac:dyDescent="0.3">
      <c r="A74" s="163" t="s">
        <v>107</v>
      </c>
      <c r="B74" s="165"/>
      <c r="C74" s="10"/>
    </row>
    <row r="75" spans="1:3" x14ac:dyDescent="0.3">
      <c r="A75" s="8" t="s">
        <v>112</v>
      </c>
      <c r="B75" s="29">
        <v>200</v>
      </c>
      <c r="C75" s="10"/>
    </row>
    <row r="76" spans="1:3" x14ac:dyDescent="0.3">
      <c r="A76" s="8" t="s">
        <v>108</v>
      </c>
      <c r="B76" s="30">
        <v>149.69999999999999</v>
      </c>
      <c r="C76" s="10"/>
    </row>
    <row r="77" spans="1:3" x14ac:dyDescent="0.3">
      <c r="A77" s="8" t="s">
        <v>110</v>
      </c>
      <c r="B77" s="5">
        <v>355.3</v>
      </c>
      <c r="C77" s="10"/>
    </row>
    <row r="78" spans="1:3" x14ac:dyDescent="0.3">
      <c r="A78" s="8" t="s">
        <v>134</v>
      </c>
      <c r="B78" s="5">
        <v>392.9</v>
      </c>
      <c r="C78" s="10"/>
    </row>
    <row r="79" spans="1:3" x14ac:dyDescent="0.3">
      <c r="A79" s="8" t="s">
        <v>119</v>
      </c>
      <c r="B79" s="5">
        <f>B78-B77</f>
        <v>37.599999999999966</v>
      </c>
      <c r="C79" s="10"/>
    </row>
    <row r="80" spans="1:3" x14ac:dyDescent="0.3">
      <c r="A80" s="8" t="s">
        <v>114</v>
      </c>
      <c r="B80" s="5">
        <v>225</v>
      </c>
      <c r="C80" s="10"/>
    </row>
    <row r="81" spans="1:4" x14ac:dyDescent="0.3">
      <c r="A81" s="8" t="s">
        <v>113</v>
      </c>
      <c r="B81" s="5">
        <f>B80-B75</f>
        <v>25</v>
      </c>
      <c r="C81" s="10"/>
    </row>
    <row r="82" spans="1:4" x14ac:dyDescent="0.3">
      <c r="A82" s="8" t="s">
        <v>130</v>
      </c>
      <c r="B82" s="5">
        <v>59.7</v>
      </c>
      <c r="C82" s="10"/>
    </row>
    <row r="83" spans="1:4" x14ac:dyDescent="0.3">
      <c r="A83" s="27" t="s">
        <v>145</v>
      </c>
      <c r="B83" s="31">
        <v>138.4</v>
      </c>
      <c r="C83" s="10"/>
    </row>
    <row r="84" spans="1:4" x14ac:dyDescent="0.3">
      <c r="A84" s="27" t="s">
        <v>146</v>
      </c>
      <c r="B84" s="31">
        <v>98.5</v>
      </c>
      <c r="C84" s="10"/>
    </row>
    <row r="85" spans="1:4" x14ac:dyDescent="0.3">
      <c r="A85" s="27" t="s">
        <v>150</v>
      </c>
      <c r="B85" s="31">
        <f>B83-B82</f>
        <v>78.7</v>
      </c>
      <c r="C85" s="10"/>
    </row>
    <row r="86" spans="1:4" x14ac:dyDescent="0.3">
      <c r="A86" s="27" t="s">
        <v>72</v>
      </c>
      <c r="B86" s="31">
        <f>((B83-B84)/(B84-B82))*100</f>
        <v>102.83505154639177</v>
      </c>
    </row>
    <row r="87" spans="1:4" x14ac:dyDescent="0.3">
      <c r="A87" s="8" t="s">
        <v>117</v>
      </c>
      <c r="B87" s="5">
        <f>'Bulk Density'!B67</f>
        <v>1.5320000000000005</v>
      </c>
    </row>
    <row r="88" spans="1:4" x14ac:dyDescent="0.3">
      <c r="A88" s="27" t="s">
        <v>139</v>
      </c>
      <c r="B88" s="5">
        <f>B87*1000</f>
        <v>1532.0000000000005</v>
      </c>
    </row>
    <row r="89" spans="1:4" x14ac:dyDescent="0.3">
      <c r="A89" s="8" t="s">
        <v>137</v>
      </c>
      <c r="B89" s="5">
        <v>2650</v>
      </c>
    </row>
    <row r="90" spans="1:4" x14ac:dyDescent="0.3">
      <c r="A90" s="8" t="s">
        <v>138</v>
      </c>
      <c r="B90" s="5">
        <v>1015</v>
      </c>
    </row>
    <row r="91" spans="1:4" ht="15" thickBot="1" x14ac:dyDescent="0.35">
      <c r="A91" s="9" t="s">
        <v>140</v>
      </c>
      <c r="B91" s="35">
        <f>B89*((B88-B90)/(B89-B90))</f>
        <v>837.95107033639215</v>
      </c>
      <c r="C91" s="12">
        <f>(B87)/(1+(B86/100))*1000</f>
        <v>755.29351969504478</v>
      </c>
    </row>
    <row r="94" spans="1:4" x14ac:dyDescent="0.3">
      <c r="A94" s="11" t="s">
        <v>27</v>
      </c>
      <c r="B94" t="s">
        <v>22</v>
      </c>
      <c r="C94" s="10"/>
      <c r="D94" s="10"/>
    </row>
    <row r="95" spans="1:4" ht="15" thickBot="1" x14ac:dyDescent="0.35">
      <c r="C95" s="10"/>
      <c r="D95" s="10"/>
    </row>
    <row r="96" spans="1:4" x14ac:dyDescent="0.3">
      <c r="A96" s="163" t="s">
        <v>107</v>
      </c>
      <c r="B96" s="165"/>
      <c r="C96" s="10"/>
      <c r="D96" s="10"/>
    </row>
    <row r="97" spans="1:4" x14ac:dyDescent="0.3">
      <c r="A97" s="8" t="s">
        <v>112</v>
      </c>
      <c r="B97" s="29">
        <v>200</v>
      </c>
      <c r="C97" s="10"/>
      <c r="D97" s="10"/>
    </row>
    <row r="98" spans="1:4" x14ac:dyDescent="0.3">
      <c r="A98" s="8" t="s">
        <v>108</v>
      </c>
      <c r="B98" s="30">
        <v>153.30000000000001</v>
      </c>
      <c r="C98" s="10"/>
      <c r="D98" s="10"/>
    </row>
    <row r="99" spans="1:4" x14ac:dyDescent="0.3">
      <c r="A99" s="8" t="s">
        <v>110</v>
      </c>
      <c r="B99" s="5">
        <v>356.5</v>
      </c>
      <c r="C99" s="10"/>
      <c r="D99" s="10"/>
    </row>
    <row r="100" spans="1:4" x14ac:dyDescent="0.3">
      <c r="A100" s="8" t="s">
        <v>134</v>
      </c>
      <c r="B100" s="5">
        <v>408.5</v>
      </c>
      <c r="C100" s="10"/>
      <c r="D100" s="10"/>
    </row>
    <row r="101" spans="1:4" x14ac:dyDescent="0.3">
      <c r="A101" s="8" t="s">
        <v>119</v>
      </c>
      <c r="B101" s="5">
        <f>B100-B99</f>
        <v>52</v>
      </c>
      <c r="C101" s="10"/>
      <c r="D101" s="10"/>
    </row>
    <row r="102" spans="1:4" x14ac:dyDescent="0.3">
      <c r="A102" s="8" t="s">
        <v>114</v>
      </c>
      <c r="B102" s="5">
        <v>225</v>
      </c>
      <c r="C102" s="10"/>
      <c r="D102" s="10"/>
    </row>
    <row r="103" spans="1:4" x14ac:dyDescent="0.3">
      <c r="A103" s="8" t="s">
        <v>113</v>
      </c>
      <c r="B103" s="5">
        <f>B102-B97</f>
        <v>25</v>
      </c>
      <c r="C103" s="10"/>
      <c r="D103" s="10"/>
    </row>
    <row r="104" spans="1:4" x14ac:dyDescent="0.3">
      <c r="A104" s="8" t="s">
        <v>132</v>
      </c>
      <c r="B104" s="5">
        <v>41.8</v>
      </c>
      <c r="C104" s="10"/>
      <c r="D104" s="10"/>
    </row>
    <row r="105" spans="1:4" x14ac:dyDescent="0.3">
      <c r="A105" s="27" t="s">
        <v>147</v>
      </c>
      <c r="B105" s="31">
        <v>142.30000000000001</v>
      </c>
      <c r="C105" s="10"/>
      <c r="D105" s="10"/>
    </row>
    <row r="106" spans="1:4" x14ac:dyDescent="0.3">
      <c r="A106" s="27" t="s">
        <v>148</v>
      </c>
      <c r="B106" s="31">
        <v>112.5</v>
      </c>
      <c r="C106" s="10"/>
      <c r="D106" s="10"/>
    </row>
    <row r="107" spans="1:4" x14ac:dyDescent="0.3">
      <c r="A107" s="27" t="s">
        <v>149</v>
      </c>
      <c r="B107" s="31">
        <f>B105-B104</f>
        <v>100.50000000000001</v>
      </c>
      <c r="C107" s="10"/>
      <c r="D107" s="10"/>
    </row>
    <row r="108" spans="1:4" x14ac:dyDescent="0.3">
      <c r="A108" s="27" t="s">
        <v>72</v>
      </c>
      <c r="B108" s="31">
        <f>((B105-B106)/(B106-B104))*100</f>
        <v>42.149929278642162</v>
      </c>
    </row>
    <row r="109" spans="1:4" x14ac:dyDescent="0.3">
      <c r="A109" s="8" t="s">
        <v>117</v>
      </c>
      <c r="B109" s="5">
        <f>'Bulk Density'!B83</f>
        <v>1.7920000000000005</v>
      </c>
    </row>
    <row r="110" spans="1:4" x14ac:dyDescent="0.3">
      <c r="A110" s="27" t="s">
        <v>139</v>
      </c>
      <c r="B110" s="5">
        <f>B109*1000</f>
        <v>1792.0000000000005</v>
      </c>
    </row>
    <row r="111" spans="1:4" x14ac:dyDescent="0.3">
      <c r="A111" s="8" t="s">
        <v>137</v>
      </c>
      <c r="B111" s="5">
        <v>2650</v>
      </c>
    </row>
    <row r="112" spans="1:4" x14ac:dyDescent="0.3">
      <c r="A112" s="8" t="s">
        <v>138</v>
      </c>
      <c r="B112" s="5">
        <v>1015</v>
      </c>
    </row>
    <row r="113" spans="1:3" ht="15" thickBot="1" x14ac:dyDescent="0.35">
      <c r="A113" s="9" t="s">
        <v>140</v>
      </c>
      <c r="B113" s="35">
        <f>B111*((B110-B112)/(B111-B112))</f>
        <v>1259.3577981651383</v>
      </c>
      <c r="C113" s="12">
        <f>(B109)/(1+(B108/100))*1000</f>
        <v>1260.6407960199006</v>
      </c>
    </row>
    <row r="116" spans="1:3" x14ac:dyDescent="0.3">
      <c r="A116" s="11" t="s">
        <v>30</v>
      </c>
      <c r="B116" t="s">
        <v>80</v>
      </c>
    </row>
    <row r="117" spans="1:3" ht="15" thickBot="1" x14ac:dyDescent="0.35"/>
    <row r="118" spans="1:3" x14ac:dyDescent="0.3">
      <c r="A118" s="163" t="s">
        <v>107</v>
      </c>
      <c r="B118" s="165"/>
    </row>
    <row r="119" spans="1:3" x14ac:dyDescent="0.3">
      <c r="A119" s="8" t="s">
        <v>112</v>
      </c>
      <c r="B119" s="29">
        <v>200</v>
      </c>
    </row>
    <row r="120" spans="1:3" x14ac:dyDescent="0.3">
      <c r="A120" s="8" t="s">
        <v>108</v>
      </c>
      <c r="B120" s="30">
        <v>149.69999999999999</v>
      </c>
    </row>
    <row r="121" spans="1:3" x14ac:dyDescent="0.3">
      <c r="A121" s="8" t="s">
        <v>110</v>
      </c>
      <c r="B121" s="5">
        <v>350.4</v>
      </c>
    </row>
    <row r="122" spans="1:3" x14ac:dyDescent="0.3">
      <c r="A122" s="8" t="s">
        <v>134</v>
      </c>
      <c r="B122" s="5">
        <v>381.4</v>
      </c>
    </row>
    <row r="123" spans="1:3" x14ac:dyDescent="0.3">
      <c r="A123" s="8" t="s">
        <v>119</v>
      </c>
      <c r="B123" s="5">
        <f>B122-B121</f>
        <v>31</v>
      </c>
    </row>
    <row r="124" spans="1:3" x14ac:dyDescent="0.3">
      <c r="A124" s="8" t="s">
        <v>114</v>
      </c>
      <c r="B124" s="5">
        <v>223</v>
      </c>
    </row>
    <row r="125" spans="1:3" x14ac:dyDescent="0.3">
      <c r="A125" s="8" t="s">
        <v>113</v>
      </c>
      <c r="B125" s="5">
        <f>B124-B119</f>
        <v>23</v>
      </c>
    </row>
    <row r="126" spans="1:3" x14ac:dyDescent="0.3">
      <c r="A126" s="8" t="s">
        <v>123</v>
      </c>
      <c r="B126" s="5">
        <v>52.1</v>
      </c>
    </row>
    <row r="127" spans="1:3" x14ac:dyDescent="0.3">
      <c r="A127" s="27" t="s">
        <v>151</v>
      </c>
      <c r="B127" s="31">
        <v>129.6</v>
      </c>
    </row>
    <row r="128" spans="1:3" x14ac:dyDescent="0.3">
      <c r="A128" s="27" t="s">
        <v>152</v>
      </c>
      <c r="B128" s="31">
        <v>84</v>
      </c>
    </row>
    <row r="129" spans="1:3" x14ac:dyDescent="0.3">
      <c r="A129" s="27" t="s">
        <v>149</v>
      </c>
      <c r="B129" s="31">
        <f>B127-B126</f>
        <v>77.5</v>
      </c>
    </row>
    <row r="130" spans="1:3" x14ac:dyDescent="0.3">
      <c r="A130" s="27" t="s">
        <v>72</v>
      </c>
      <c r="B130" s="31">
        <f>((B127-B128)/(B128-B126))*100</f>
        <v>142.94670846394985</v>
      </c>
    </row>
    <row r="131" spans="1:3" x14ac:dyDescent="0.3">
      <c r="A131" s="8" t="s">
        <v>117</v>
      </c>
      <c r="B131" s="5">
        <f>'Bulk Density'!B99</f>
        <v>1.3879999999999995</v>
      </c>
    </row>
    <row r="132" spans="1:3" x14ac:dyDescent="0.3">
      <c r="A132" s="27" t="s">
        <v>139</v>
      </c>
      <c r="B132" s="5">
        <f>B131*1000</f>
        <v>1387.9999999999995</v>
      </c>
    </row>
    <row r="133" spans="1:3" x14ac:dyDescent="0.3">
      <c r="A133" s="8" t="s">
        <v>137</v>
      </c>
      <c r="B133" s="5">
        <v>2650</v>
      </c>
    </row>
    <row r="134" spans="1:3" x14ac:dyDescent="0.3">
      <c r="A134" s="8" t="s">
        <v>138</v>
      </c>
      <c r="B134" s="5">
        <v>1015</v>
      </c>
    </row>
    <row r="135" spans="1:3" ht="15" thickBot="1" x14ac:dyDescent="0.35">
      <c r="A135" s="9" t="s">
        <v>140</v>
      </c>
      <c r="B135" s="35">
        <f>B133*((B132-B134)/(B133-B134))</f>
        <v>604.55657492354669</v>
      </c>
      <c r="C135" s="12">
        <f>(B131)/(1+(B130/100))*1000</f>
        <v>571.31870967741906</v>
      </c>
    </row>
    <row r="138" spans="1:3" x14ac:dyDescent="0.3">
      <c r="A138" s="11" t="s">
        <v>81</v>
      </c>
      <c r="B138" t="s">
        <v>82</v>
      </c>
      <c r="C138" s="10"/>
    </row>
    <row r="139" spans="1:3" ht="15" thickBot="1" x14ac:dyDescent="0.35">
      <c r="C139" s="10"/>
    </row>
    <row r="140" spans="1:3" x14ac:dyDescent="0.3">
      <c r="A140" s="163" t="s">
        <v>107</v>
      </c>
      <c r="B140" s="165"/>
      <c r="C140" s="10"/>
    </row>
    <row r="141" spans="1:3" x14ac:dyDescent="0.3">
      <c r="A141" s="8" t="s">
        <v>112</v>
      </c>
      <c r="B141" s="29">
        <v>200</v>
      </c>
      <c r="C141" s="10"/>
    </row>
    <row r="142" spans="1:3" x14ac:dyDescent="0.3">
      <c r="A142" s="8" t="s">
        <v>108</v>
      </c>
      <c r="B142" s="30">
        <v>153.1</v>
      </c>
      <c r="C142" s="10"/>
    </row>
    <row r="143" spans="1:3" x14ac:dyDescent="0.3">
      <c r="A143" s="8" t="s">
        <v>110</v>
      </c>
      <c r="B143" s="5">
        <v>358.4</v>
      </c>
      <c r="C143" s="10"/>
    </row>
    <row r="144" spans="1:3" x14ac:dyDescent="0.3">
      <c r="A144" s="8" t="s">
        <v>134</v>
      </c>
      <c r="B144" s="5">
        <v>377.2</v>
      </c>
      <c r="C144" s="10"/>
    </row>
    <row r="145" spans="1:3" x14ac:dyDescent="0.3">
      <c r="A145" s="8" t="s">
        <v>119</v>
      </c>
      <c r="B145" s="5">
        <f>B144-B143</f>
        <v>18.800000000000011</v>
      </c>
      <c r="C145" s="10"/>
    </row>
    <row r="146" spans="1:3" x14ac:dyDescent="0.3">
      <c r="A146" s="8" t="s">
        <v>114</v>
      </c>
      <c r="B146" s="5">
        <v>212.5</v>
      </c>
      <c r="C146" s="10"/>
    </row>
    <row r="147" spans="1:3" x14ac:dyDescent="0.3">
      <c r="A147" s="8" t="s">
        <v>113</v>
      </c>
      <c r="B147" s="5">
        <f>B146-B141</f>
        <v>12.5</v>
      </c>
      <c r="C147" s="10"/>
    </row>
    <row r="148" spans="1:3" x14ac:dyDescent="0.3">
      <c r="A148" s="8" t="s">
        <v>129</v>
      </c>
      <c r="B148" s="5"/>
      <c r="C148" s="10"/>
    </row>
    <row r="149" spans="1:3" x14ac:dyDescent="0.3">
      <c r="A149" s="27" t="s">
        <v>155</v>
      </c>
      <c r="B149" s="31">
        <v>82.8</v>
      </c>
      <c r="C149" s="10"/>
    </row>
    <row r="150" spans="1:3" x14ac:dyDescent="0.3">
      <c r="A150" s="27" t="s">
        <v>153</v>
      </c>
      <c r="B150" s="31">
        <v>54</v>
      </c>
      <c r="C150" s="10"/>
    </row>
    <row r="151" spans="1:3" x14ac:dyDescent="0.3">
      <c r="A151" s="27" t="s">
        <v>120</v>
      </c>
      <c r="B151" s="31">
        <v>82.8</v>
      </c>
      <c r="C151" s="10"/>
    </row>
    <row r="152" spans="1:3" ht="15" thickBot="1" x14ac:dyDescent="0.35">
      <c r="A152" s="27" t="s">
        <v>72</v>
      </c>
      <c r="B152" s="31">
        <f>((B149-B150)/(B150-B148))*100</f>
        <v>53.333333333333336</v>
      </c>
      <c r="C152" s="10"/>
    </row>
    <row r="153" spans="1:3" x14ac:dyDescent="0.3">
      <c r="A153" s="8" t="s">
        <v>117</v>
      </c>
      <c r="B153" s="5">
        <f>'Bulk Density'!C115</f>
        <v>1.6559999999999999</v>
      </c>
      <c r="C153" s="33"/>
    </row>
    <row r="154" spans="1:3" ht="15" thickBot="1" x14ac:dyDescent="0.35">
      <c r="A154" s="27" t="s">
        <v>139</v>
      </c>
      <c r="B154" s="5">
        <f>B153*1000</f>
        <v>1656</v>
      </c>
      <c r="C154" s="34"/>
    </row>
    <row r="155" spans="1:3" x14ac:dyDescent="0.3">
      <c r="A155" s="8" t="s">
        <v>137</v>
      </c>
      <c r="B155" s="5">
        <v>2650</v>
      </c>
    </row>
    <row r="156" spans="1:3" x14ac:dyDescent="0.3">
      <c r="A156" s="8" t="s">
        <v>138</v>
      </c>
      <c r="B156" s="5">
        <v>1015</v>
      </c>
    </row>
    <row r="157" spans="1:3" ht="15" thickBot="1" x14ac:dyDescent="0.35">
      <c r="A157" s="9" t="s">
        <v>140</v>
      </c>
      <c r="B157" s="35">
        <f>B155*((B154-B156)/(B155-B156))</f>
        <v>1038.9296636085626</v>
      </c>
      <c r="C157" s="12">
        <f>(B153)/(1+(B152/100))*1000</f>
        <v>1080</v>
      </c>
    </row>
    <row r="160" spans="1:3" x14ac:dyDescent="0.3">
      <c r="A160" s="11" t="s">
        <v>84</v>
      </c>
      <c r="B160" t="s">
        <v>83</v>
      </c>
    </row>
    <row r="161" spans="1:2" ht="15" thickBot="1" x14ac:dyDescent="0.35"/>
    <row r="162" spans="1:2" x14ac:dyDescent="0.3">
      <c r="A162" s="163" t="s">
        <v>107</v>
      </c>
      <c r="B162" s="165"/>
    </row>
    <row r="163" spans="1:2" x14ac:dyDescent="0.3">
      <c r="A163" s="8" t="s">
        <v>112</v>
      </c>
      <c r="B163" s="29">
        <v>200</v>
      </c>
    </row>
    <row r="164" spans="1:2" x14ac:dyDescent="0.3">
      <c r="A164" s="8" t="s">
        <v>108</v>
      </c>
      <c r="B164" s="30">
        <v>153.30000000000001</v>
      </c>
    </row>
    <row r="165" spans="1:2" x14ac:dyDescent="0.3">
      <c r="A165" s="8" t="s">
        <v>110</v>
      </c>
      <c r="B165" s="5">
        <v>360.1</v>
      </c>
    </row>
    <row r="166" spans="1:2" x14ac:dyDescent="0.3">
      <c r="A166" s="8" t="s">
        <v>134</v>
      </c>
      <c r="B166" s="5">
        <v>393.8</v>
      </c>
    </row>
    <row r="167" spans="1:2" x14ac:dyDescent="0.3">
      <c r="A167" s="8" t="s">
        <v>119</v>
      </c>
      <c r="B167" s="5">
        <f>B166-B165</f>
        <v>33.699999999999989</v>
      </c>
    </row>
    <row r="168" spans="1:2" x14ac:dyDescent="0.3">
      <c r="A168" s="8" t="s">
        <v>114</v>
      </c>
      <c r="B168" s="5">
        <v>224</v>
      </c>
    </row>
    <row r="169" spans="1:2" x14ac:dyDescent="0.3">
      <c r="A169" s="8" t="s">
        <v>113</v>
      </c>
      <c r="B169" s="5">
        <f>B168-B163</f>
        <v>24</v>
      </c>
    </row>
    <row r="170" spans="1:2" x14ac:dyDescent="0.3">
      <c r="A170" s="8" t="s">
        <v>122</v>
      </c>
      <c r="B170" s="5">
        <v>34.200000000000003</v>
      </c>
    </row>
    <row r="171" spans="1:2" x14ac:dyDescent="0.3">
      <c r="A171" s="27" t="s">
        <v>156</v>
      </c>
      <c r="B171" s="31">
        <v>120.3</v>
      </c>
    </row>
    <row r="172" spans="1:2" x14ac:dyDescent="0.3">
      <c r="A172" s="27" t="s">
        <v>157</v>
      </c>
      <c r="B172" s="31">
        <v>69.400000000000006</v>
      </c>
    </row>
    <row r="173" spans="1:2" x14ac:dyDescent="0.3">
      <c r="A173" s="27" t="s">
        <v>120</v>
      </c>
      <c r="B173" s="31">
        <v>82.8</v>
      </c>
    </row>
    <row r="174" spans="1:2" x14ac:dyDescent="0.3">
      <c r="A174" s="27" t="s">
        <v>72</v>
      </c>
      <c r="B174" s="31">
        <f>((B171-B172)/(B172-B170))*100</f>
        <v>144.60227272727269</v>
      </c>
    </row>
    <row r="175" spans="1:2" x14ac:dyDescent="0.3">
      <c r="A175" s="8" t="s">
        <v>117</v>
      </c>
      <c r="B175" s="5">
        <f>'Bulk Density'!B131</f>
        <v>1.46</v>
      </c>
    </row>
    <row r="176" spans="1:2" x14ac:dyDescent="0.3">
      <c r="A176" s="27" t="s">
        <v>139</v>
      </c>
      <c r="B176" s="5">
        <f>B175*1000</f>
        <v>1460</v>
      </c>
    </row>
    <row r="177" spans="1:3" x14ac:dyDescent="0.3">
      <c r="A177" s="8" t="s">
        <v>137</v>
      </c>
      <c r="B177" s="5">
        <v>2650</v>
      </c>
    </row>
    <row r="178" spans="1:3" x14ac:dyDescent="0.3">
      <c r="A178" s="8" t="s">
        <v>138</v>
      </c>
      <c r="B178" s="5">
        <v>1015</v>
      </c>
    </row>
    <row r="179" spans="1:3" ht="15" thickBot="1" x14ac:dyDescent="0.35">
      <c r="A179" s="9" t="s">
        <v>140</v>
      </c>
      <c r="B179" s="35">
        <f>B177*((B176-B178)/(B177-B178))</f>
        <v>721.25382262996936</v>
      </c>
      <c r="C179" s="12">
        <f>(B175)/(1+(B174/100))*1000</f>
        <v>596.88734030197452</v>
      </c>
    </row>
  </sheetData>
  <mergeCells count="10">
    <mergeCell ref="B3:E3"/>
    <mergeCell ref="B4:E4"/>
    <mergeCell ref="A8:B8"/>
    <mergeCell ref="A30:B30"/>
    <mergeCell ref="A52:B52"/>
    <mergeCell ref="A74:B74"/>
    <mergeCell ref="A96:B96"/>
    <mergeCell ref="A118:B118"/>
    <mergeCell ref="A140:B140"/>
    <mergeCell ref="A162:B162"/>
  </mergeCells>
  <pageMargins left="0.7" right="0.7" top="0.75" bottom="0.75" header="0.3" footer="0.3"/>
  <pageSetup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A3:E132"/>
  <sheetViews>
    <sheetView topLeftCell="A34" zoomScale="85" zoomScaleNormal="85" workbookViewId="0">
      <selection activeCell="B45" sqref="B45"/>
    </sheetView>
  </sheetViews>
  <sheetFormatPr defaultRowHeight="14.4" x14ac:dyDescent="0.3"/>
  <cols>
    <col min="1" max="1" width="31.44140625" customWidth="1"/>
    <col min="2" max="2" width="14.33203125" customWidth="1"/>
  </cols>
  <sheetData>
    <row r="3" spans="1:5" ht="59.4" customHeight="1" x14ac:dyDescent="0.3">
      <c r="A3" s="14" t="s">
        <v>0</v>
      </c>
      <c r="B3" s="168" t="s">
        <v>57</v>
      </c>
      <c r="C3" s="168"/>
      <c r="D3" s="168"/>
      <c r="E3" s="168"/>
    </row>
    <row r="4" spans="1:5" x14ac:dyDescent="0.3">
      <c r="A4" s="15" t="s">
        <v>109</v>
      </c>
      <c r="B4" s="169"/>
      <c r="C4" s="170"/>
      <c r="D4" s="170"/>
      <c r="E4" s="171"/>
    </row>
    <row r="5" spans="1:5" x14ac:dyDescent="0.3">
      <c r="B5" s="10"/>
      <c r="C5" s="10"/>
      <c r="D5" s="10"/>
      <c r="E5" s="10"/>
    </row>
    <row r="6" spans="1:5" x14ac:dyDescent="0.3">
      <c r="A6" s="11" t="s">
        <v>16</v>
      </c>
      <c r="B6" t="s">
        <v>58</v>
      </c>
      <c r="C6" s="10"/>
      <c r="D6" s="10"/>
      <c r="E6" s="10"/>
    </row>
    <row r="7" spans="1:5" ht="15" thickBot="1" x14ac:dyDescent="0.35">
      <c r="C7" s="10"/>
      <c r="D7" s="10"/>
      <c r="E7" s="10"/>
    </row>
    <row r="8" spans="1:5" x14ac:dyDescent="0.3">
      <c r="A8" s="163" t="s">
        <v>107</v>
      </c>
      <c r="B8" s="165"/>
      <c r="C8" s="10"/>
      <c r="D8" s="10"/>
      <c r="E8" s="10"/>
    </row>
    <row r="9" spans="1:5" x14ac:dyDescent="0.3">
      <c r="A9" s="8" t="s">
        <v>112</v>
      </c>
      <c r="B9" s="29">
        <v>200</v>
      </c>
      <c r="C9" s="10"/>
      <c r="D9" s="10"/>
      <c r="E9" s="10"/>
    </row>
    <row r="10" spans="1:5" x14ac:dyDescent="0.3">
      <c r="A10" s="8" t="s">
        <v>108</v>
      </c>
      <c r="B10" s="30">
        <v>153.5</v>
      </c>
      <c r="C10" s="10"/>
      <c r="D10" s="10"/>
      <c r="E10" s="21"/>
    </row>
    <row r="11" spans="1:5" x14ac:dyDescent="0.3">
      <c r="A11" s="8" t="s">
        <v>110</v>
      </c>
      <c r="B11" s="5">
        <v>355</v>
      </c>
      <c r="C11" s="10"/>
      <c r="D11" s="10"/>
      <c r="E11" s="12"/>
    </row>
    <row r="12" spans="1:5" x14ac:dyDescent="0.3">
      <c r="A12" s="8" t="s">
        <v>111</v>
      </c>
      <c r="B12" s="5">
        <v>435.6</v>
      </c>
      <c r="C12" s="10"/>
      <c r="D12" s="10"/>
      <c r="E12" s="12"/>
    </row>
    <row r="13" spans="1:5" x14ac:dyDescent="0.3">
      <c r="A13" s="8" t="s">
        <v>119</v>
      </c>
      <c r="B13" s="5">
        <f>B12-B11</f>
        <v>80.600000000000023</v>
      </c>
      <c r="C13" s="10"/>
      <c r="D13" s="10"/>
      <c r="E13" s="12"/>
    </row>
    <row r="14" spans="1:5" x14ac:dyDescent="0.3">
      <c r="A14" s="8" t="s">
        <v>114</v>
      </c>
      <c r="B14" s="5">
        <v>250</v>
      </c>
      <c r="C14" s="10"/>
      <c r="D14" s="10"/>
      <c r="E14" s="12"/>
    </row>
    <row r="15" spans="1:5" x14ac:dyDescent="0.3">
      <c r="A15" s="8" t="s">
        <v>113</v>
      </c>
      <c r="B15" s="5">
        <f>B14-B9</f>
        <v>50</v>
      </c>
      <c r="C15" s="10"/>
      <c r="D15" s="10"/>
      <c r="E15" s="12"/>
    </row>
    <row r="16" spans="1:5" x14ac:dyDescent="0.3">
      <c r="A16" s="8" t="s">
        <v>115</v>
      </c>
      <c r="B16" s="5">
        <v>53.1</v>
      </c>
      <c r="C16" s="10"/>
      <c r="D16" s="10"/>
      <c r="E16" s="12"/>
    </row>
    <row r="17" spans="1:5" x14ac:dyDescent="0.3">
      <c r="A17" s="27" t="s">
        <v>116</v>
      </c>
      <c r="B17" s="31">
        <v>139.9</v>
      </c>
      <c r="C17" s="10"/>
      <c r="D17" s="10"/>
      <c r="E17" s="12"/>
    </row>
    <row r="18" spans="1:5" x14ac:dyDescent="0.3">
      <c r="A18" s="27" t="s">
        <v>120</v>
      </c>
      <c r="B18" s="31">
        <f>B17-B16</f>
        <v>86.800000000000011</v>
      </c>
      <c r="C18" s="10"/>
      <c r="D18" s="10"/>
      <c r="E18" s="12"/>
    </row>
    <row r="19" spans="1:5" x14ac:dyDescent="0.3">
      <c r="A19" s="8" t="s">
        <v>117</v>
      </c>
      <c r="B19" s="5">
        <f>B13/B15</f>
        <v>1.6120000000000005</v>
      </c>
      <c r="C19">
        <f>B18/B15</f>
        <v>1.7360000000000002</v>
      </c>
      <c r="E19" s="12"/>
    </row>
    <row r="20" spans="1:5" ht="15" thickBot="1" x14ac:dyDescent="0.35">
      <c r="A20" s="9" t="s">
        <v>118</v>
      </c>
      <c r="B20" s="32">
        <f>B19*1000</f>
        <v>1612.0000000000005</v>
      </c>
      <c r="C20">
        <f>C19*1000</f>
        <v>1736.0000000000002</v>
      </c>
    </row>
    <row r="22" spans="1:5" x14ac:dyDescent="0.3">
      <c r="A22" s="11" t="s">
        <v>20</v>
      </c>
      <c r="B22" t="s">
        <v>67</v>
      </c>
      <c r="C22" s="10"/>
      <c r="D22" s="10"/>
      <c r="E22" s="10"/>
    </row>
    <row r="23" spans="1:5" ht="15" thickBot="1" x14ac:dyDescent="0.35">
      <c r="C23" s="10"/>
      <c r="D23" s="10"/>
      <c r="E23" s="10"/>
    </row>
    <row r="24" spans="1:5" x14ac:dyDescent="0.3">
      <c r="A24" s="163" t="s">
        <v>107</v>
      </c>
      <c r="B24" s="165"/>
      <c r="C24" s="10"/>
      <c r="D24" s="10"/>
      <c r="E24" s="10"/>
    </row>
    <row r="25" spans="1:5" x14ac:dyDescent="0.3">
      <c r="A25" s="8" t="s">
        <v>112</v>
      </c>
      <c r="B25" s="29">
        <v>200</v>
      </c>
      <c r="C25" s="10"/>
      <c r="D25" s="10"/>
      <c r="E25" s="10"/>
    </row>
    <row r="26" spans="1:5" x14ac:dyDescent="0.3">
      <c r="A26" s="8" t="s">
        <v>108</v>
      </c>
      <c r="B26" s="30">
        <v>153.5</v>
      </c>
      <c r="C26" s="10"/>
      <c r="D26" s="10"/>
      <c r="E26" s="21"/>
    </row>
    <row r="27" spans="1:5" x14ac:dyDescent="0.3">
      <c r="A27" s="8" t="s">
        <v>110</v>
      </c>
      <c r="B27" s="5">
        <v>352.4</v>
      </c>
      <c r="C27" s="10"/>
      <c r="D27" s="10"/>
      <c r="E27" s="12"/>
    </row>
    <row r="28" spans="1:5" x14ac:dyDescent="0.3">
      <c r="A28" s="8" t="s">
        <v>111</v>
      </c>
      <c r="B28" s="5">
        <v>435.5</v>
      </c>
      <c r="C28" s="10"/>
      <c r="D28" s="10"/>
      <c r="E28" s="12"/>
    </row>
    <row r="29" spans="1:5" x14ac:dyDescent="0.3">
      <c r="A29" s="8" t="s">
        <v>119</v>
      </c>
      <c r="B29" s="5">
        <f>B28-B27</f>
        <v>83.100000000000023</v>
      </c>
      <c r="C29" s="10"/>
      <c r="D29" s="10"/>
      <c r="E29" s="12"/>
    </row>
    <row r="30" spans="1:5" x14ac:dyDescent="0.3">
      <c r="A30" s="8" t="s">
        <v>114</v>
      </c>
      <c r="B30" s="5">
        <v>250</v>
      </c>
      <c r="C30" s="10"/>
      <c r="D30" s="10"/>
      <c r="E30" s="12"/>
    </row>
    <row r="31" spans="1:5" x14ac:dyDescent="0.3">
      <c r="A31" s="8" t="s">
        <v>113</v>
      </c>
      <c r="B31" s="5">
        <f>B30-B25</f>
        <v>50</v>
      </c>
      <c r="C31" s="10"/>
      <c r="D31" s="10"/>
      <c r="E31" s="12"/>
    </row>
    <row r="32" spans="1:5" x14ac:dyDescent="0.3">
      <c r="A32" s="8" t="s">
        <v>127</v>
      </c>
      <c r="B32" s="5">
        <v>33.200000000000003</v>
      </c>
      <c r="C32" s="10"/>
      <c r="D32" s="10"/>
      <c r="E32" s="12"/>
    </row>
    <row r="33" spans="1:5" x14ac:dyDescent="0.3">
      <c r="A33" s="27" t="s">
        <v>128</v>
      </c>
      <c r="B33" s="31">
        <v>126</v>
      </c>
      <c r="C33" s="10"/>
      <c r="D33" s="10"/>
      <c r="E33" s="12"/>
    </row>
    <row r="34" spans="1:5" x14ac:dyDescent="0.3">
      <c r="A34" s="27" t="s">
        <v>120</v>
      </c>
      <c r="B34" s="31">
        <f>B33-B32</f>
        <v>92.8</v>
      </c>
      <c r="C34" s="10"/>
      <c r="D34" s="10"/>
      <c r="E34" s="12"/>
    </row>
    <row r="35" spans="1:5" x14ac:dyDescent="0.3">
      <c r="A35" s="8" t="s">
        <v>117</v>
      </c>
      <c r="B35" s="5">
        <f>B29/B31</f>
        <v>1.6620000000000004</v>
      </c>
      <c r="C35">
        <f>B34/B31</f>
        <v>1.8559999999999999</v>
      </c>
      <c r="E35" s="12"/>
    </row>
    <row r="36" spans="1:5" ht="15" thickBot="1" x14ac:dyDescent="0.35">
      <c r="A36" s="9" t="s">
        <v>118</v>
      </c>
      <c r="B36" s="32">
        <f>B35*1000</f>
        <v>1662.0000000000005</v>
      </c>
      <c r="C36">
        <f>C35*1000</f>
        <v>1855.9999999999998</v>
      </c>
    </row>
    <row r="38" spans="1:5" x14ac:dyDescent="0.3">
      <c r="A38" s="11" t="s">
        <v>21</v>
      </c>
      <c r="B38" t="s">
        <v>17</v>
      </c>
      <c r="C38" s="10"/>
      <c r="D38" s="10"/>
      <c r="E38" s="10"/>
    </row>
    <row r="39" spans="1:5" ht="15" thickBot="1" x14ac:dyDescent="0.35">
      <c r="C39" s="10"/>
      <c r="D39" s="10"/>
      <c r="E39" s="10"/>
    </row>
    <row r="40" spans="1:5" x14ac:dyDescent="0.3">
      <c r="A40" s="163" t="s">
        <v>107</v>
      </c>
      <c r="B40" s="165"/>
      <c r="C40" s="10"/>
      <c r="D40" s="10"/>
      <c r="E40" s="10"/>
    </row>
    <row r="41" spans="1:5" x14ac:dyDescent="0.3">
      <c r="A41" s="8" t="s">
        <v>112</v>
      </c>
      <c r="B41" s="29">
        <v>200</v>
      </c>
      <c r="C41" s="10"/>
      <c r="D41" s="10"/>
      <c r="E41" s="10"/>
    </row>
    <row r="42" spans="1:5" x14ac:dyDescent="0.3">
      <c r="A42" s="8" t="s">
        <v>108</v>
      </c>
      <c r="B42" s="30">
        <v>153.30000000000001</v>
      </c>
      <c r="C42" s="10"/>
      <c r="D42" s="10"/>
      <c r="E42" s="21"/>
    </row>
    <row r="43" spans="1:5" x14ac:dyDescent="0.3">
      <c r="A43" s="8" t="s">
        <v>110</v>
      </c>
      <c r="B43" s="5">
        <v>356.6</v>
      </c>
      <c r="C43" s="10"/>
      <c r="D43" s="10"/>
      <c r="E43" s="12"/>
    </row>
    <row r="44" spans="1:5" x14ac:dyDescent="0.3">
      <c r="A44" s="8" t="s">
        <v>111</v>
      </c>
      <c r="B44" s="5">
        <v>449.2</v>
      </c>
      <c r="C44" s="10"/>
      <c r="D44" s="10"/>
      <c r="E44" s="12"/>
    </row>
    <row r="45" spans="1:5" x14ac:dyDescent="0.3">
      <c r="A45" s="8" t="s">
        <v>119</v>
      </c>
      <c r="B45" s="5">
        <f>B44-B43</f>
        <v>92.599999999999966</v>
      </c>
      <c r="C45" s="10"/>
      <c r="D45" s="10"/>
      <c r="E45" s="12"/>
    </row>
    <row r="46" spans="1:5" x14ac:dyDescent="0.3">
      <c r="A46" s="8" t="s">
        <v>114</v>
      </c>
      <c r="B46" s="5">
        <v>250</v>
      </c>
      <c r="C46" s="10"/>
      <c r="D46" s="10"/>
      <c r="E46" s="12"/>
    </row>
    <row r="47" spans="1:5" x14ac:dyDescent="0.3">
      <c r="A47" s="8" t="s">
        <v>113</v>
      </c>
      <c r="B47" s="5">
        <f>B46-B41</f>
        <v>50</v>
      </c>
      <c r="C47" s="10"/>
      <c r="D47" s="10"/>
      <c r="E47" s="12"/>
    </row>
    <row r="48" spans="1:5" x14ac:dyDescent="0.3">
      <c r="A48" s="8" t="s">
        <v>125</v>
      </c>
      <c r="B48" s="5">
        <v>49.6</v>
      </c>
      <c r="C48" s="10"/>
      <c r="D48" s="10"/>
      <c r="E48" s="12"/>
    </row>
    <row r="49" spans="1:5" x14ac:dyDescent="0.3">
      <c r="A49" s="27" t="s">
        <v>126</v>
      </c>
      <c r="B49" s="31">
        <v>148.6</v>
      </c>
      <c r="C49" s="10"/>
      <c r="D49" s="10"/>
      <c r="E49" s="12"/>
    </row>
    <row r="50" spans="1:5" x14ac:dyDescent="0.3">
      <c r="A50" s="27" t="s">
        <v>120</v>
      </c>
      <c r="B50" s="31">
        <f>B49-B48</f>
        <v>99</v>
      </c>
      <c r="C50" s="10"/>
      <c r="D50" s="10"/>
      <c r="E50" s="12"/>
    </row>
    <row r="51" spans="1:5" x14ac:dyDescent="0.3">
      <c r="A51" s="8" t="s">
        <v>117</v>
      </c>
      <c r="B51" s="5">
        <f>B45/B47</f>
        <v>1.8519999999999994</v>
      </c>
      <c r="C51">
        <f>B50/B47</f>
        <v>1.98</v>
      </c>
      <c r="E51" s="12"/>
    </row>
    <row r="52" spans="1:5" ht="15" thickBot="1" x14ac:dyDescent="0.35">
      <c r="A52" s="9" t="s">
        <v>118</v>
      </c>
      <c r="B52" s="32">
        <f>B51*1000</f>
        <v>1851.9999999999993</v>
      </c>
      <c r="C52">
        <f>C51*1000</f>
        <v>1980</v>
      </c>
    </row>
    <row r="54" spans="1:5" x14ac:dyDescent="0.3">
      <c r="A54" s="11" t="s">
        <v>25</v>
      </c>
      <c r="B54" t="s">
        <v>2</v>
      </c>
      <c r="C54" s="10"/>
      <c r="D54" s="10"/>
      <c r="E54" s="10"/>
    </row>
    <row r="55" spans="1:5" ht="15" thickBot="1" x14ac:dyDescent="0.35">
      <c r="C55" s="10"/>
      <c r="D55" s="10"/>
      <c r="E55" s="10"/>
    </row>
    <row r="56" spans="1:5" x14ac:dyDescent="0.3">
      <c r="A56" s="163" t="s">
        <v>107</v>
      </c>
      <c r="B56" s="165"/>
      <c r="C56" s="10"/>
      <c r="D56" s="10"/>
      <c r="E56" s="10"/>
    </row>
    <row r="57" spans="1:5" x14ac:dyDescent="0.3">
      <c r="A57" s="8" t="s">
        <v>112</v>
      </c>
      <c r="B57" s="29">
        <v>200</v>
      </c>
      <c r="C57" s="10"/>
      <c r="D57" s="10"/>
      <c r="E57" s="10"/>
    </row>
    <row r="58" spans="1:5" x14ac:dyDescent="0.3">
      <c r="A58" s="8" t="s">
        <v>108</v>
      </c>
      <c r="B58" s="30">
        <v>153.30000000000001</v>
      </c>
      <c r="C58" s="10"/>
      <c r="D58" s="10"/>
      <c r="E58" s="21"/>
    </row>
    <row r="59" spans="1:5" x14ac:dyDescent="0.3">
      <c r="A59" s="8" t="s">
        <v>110</v>
      </c>
      <c r="B59" s="5">
        <v>359.5</v>
      </c>
      <c r="C59" s="10"/>
      <c r="D59" s="10"/>
      <c r="E59" s="12"/>
    </row>
    <row r="60" spans="1:5" x14ac:dyDescent="0.3">
      <c r="A60" s="8" t="s">
        <v>111</v>
      </c>
      <c r="B60" s="5">
        <v>436.1</v>
      </c>
      <c r="C60" s="10"/>
      <c r="D60" s="10"/>
      <c r="E60" s="12"/>
    </row>
    <row r="61" spans="1:5" x14ac:dyDescent="0.3">
      <c r="A61" s="8" t="s">
        <v>119</v>
      </c>
      <c r="B61" s="5">
        <f>B60-B59</f>
        <v>76.600000000000023</v>
      </c>
      <c r="C61" s="10"/>
      <c r="D61" s="10"/>
      <c r="E61" s="12"/>
    </row>
    <row r="62" spans="1:5" x14ac:dyDescent="0.3">
      <c r="A62" s="8" t="s">
        <v>114</v>
      </c>
      <c r="B62" s="5">
        <v>250</v>
      </c>
      <c r="C62" s="10"/>
      <c r="D62" s="10"/>
      <c r="E62" s="12"/>
    </row>
    <row r="63" spans="1:5" x14ac:dyDescent="0.3">
      <c r="A63" s="8" t="s">
        <v>113</v>
      </c>
      <c r="B63" s="5">
        <f>B62-B57</f>
        <v>50</v>
      </c>
      <c r="C63" s="10"/>
      <c r="D63" s="10"/>
      <c r="E63" s="12"/>
    </row>
    <row r="64" spans="1:5" x14ac:dyDescent="0.3">
      <c r="A64" s="8" t="s">
        <v>130</v>
      </c>
      <c r="B64" s="5">
        <v>59.7</v>
      </c>
      <c r="C64" s="10"/>
      <c r="D64" s="10"/>
      <c r="E64" s="12"/>
    </row>
    <row r="65" spans="1:5" x14ac:dyDescent="0.3">
      <c r="A65" s="27" t="s">
        <v>131</v>
      </c>
      <c r="B65" s="31">
        <v>138.4</v>
      </c>
      <c r="C65" s="10"/>
      <c r="D65" s="10"/>
      <c r="E65" s="12"/>
    </row>
    <row r="66" spans="1:5" x14ac:dyDescent="0.3">
      <c r="A66" s="27" t="s">
        <v>120</v>
      </c>
      <c r="B66" s="31">
        <f>B65-B64</f>
        <v>78.7</v>
      </c>
      <c r="C66" s="10"/>
      <c r="D66" s="10"/>
      <c r="E66" s="12"/>
    </row>
    <row r="67" spans="1:5" x14ac:dyDescent="0.3">
      <c r="A67" s="8" t="s">
        <v>117</v>
      </c>
      <c r="B67" s="5">
        <f>B61/B63</f>
        <v>1.5320000000000005</v>
      </c>
      <c r="C67">
        <f>B66/B63</f>
        <v>1.5740000000000001</v>
      </c>
      <c r="E67" s="12"/>
    </row>
    <row r="68" spans="1:5" ht="15" thickBot="1" x14ac:dyDescent="0.35">
      <c r="A68" s="9" t="s">
        <v>118</v>
      </c>
      <c r="B68" s="32">
        <f>B67*1000</f>
        <v>1532.0000000000005</v>
      </c>
      <c r="C68">
        <f>C67*1000</f>
        <v>1574</v>
      </c>
    </row>
    <row r="70" spans="1:5" x14ac:dyDescent="0.3">
      <c r="A70" s="11" t="s">
        <v>27</v>
      </c>
      <c r="B70" t="s">
        <v>22</v>
      </c>
      <c r="C70" s="10"/>
      <c r="D70" s="10"/>
      <c r="E70" s="10"/>
    </row>
    <row r="71" spans="1:5" ht="15" thickBot="1" x14ac:dyDescent="0.35">
      <c r="C71" s="10"/>
      <c r="D71" s="10"/>
      <c r="E71" s="10"/>
    </row>
    <row r="72" spans="1:5" x14ac:dyDescent="0.3">
      <c r="A72" s="163" t="s">
        <v>107</v>
      </c>
      <c r="B72" s="165"/>
      <c r="C72" s="10"/>
      <c r="D72" s="10"/>
      <c r="E72" s="10"/>
    </row>
    <row r="73" spans="1:5" x14ac:dyDescent="0.3">
      <c r="A73" s="8" t="s">
        <v>112</v>
      </c>
      <c r="B73" s="29">
        <v>200</v>
      </c>
      <c r="C73" s="10"/>
      <c r="D73" s="10"/>
      <c r="E73" s="10"/>
    </row>
    <row r="74" spans="1:5" x14ac:dyDescent="0.3">
      <c r="A74" s="8" t="s">
        <v>108</v>
      </c>
      <c r="B74" s="30">
        <v>153.30000000000001</v>
      </c>
      <c r="C74" s="10"/>
      <c r="D74" s="10"/>
      <c r="E74" s="21"/>
    </row>
    <row r="75" spans="1:5" x14ac:dyDescent="0.3">
      <c r="A75" s="8" t="s">
        <v>110</v>
      </c>
      <c r="B75" s="5">
        <v>354.5</v>
      </c>
      <c r="C75" s="10"/>
      <c r="D75" s="10"/>
      <c r="E75" s="12"/>
    </row>
    <row r="76" spans="1:5" x14ac:dyDescent="0.3">
      <c r="A76" s="8" t="s">
        <v>111</v>
      </c>
      <c r="B76" s="5">
        <v>444.1</v>
      </c>
      <c r="C76" s="10"/>
      <c r="D76" s="10"/>
      <c r="E76" s="12"/>
    </row>
    <row r="77" spans="1:5" x14ac:dyDescent="0.3">
      <c r="A77" s="8" t="s">
        <v>119</v>
      </c>
      <c r="B77" s="5">
        <f>B76-B75</f>
        <v>89.600000000000023</v>
      </c>
      <c r="C77" s="10"/>
      <c r="D77" s="10"/>
      <c r="E77" s="12"/>
    </row>
    <row r="78" spans="1:5" x14ac:dyDescent="0.3">
      <c r="A78" s="8" t="s">
        <v>114</v>
      </c>
      <c r="B78" s="5">
        <v>250</v>
      </c>
      <c r="C78" s="10"/>
      <c r="D78" s="10"/>
      <c r="E78" s="12"/>
    </row>
    <row r="79" spans="1:5" x14ac:dyDescent="0.3">
      <c r="A79" s="8" t="s">
        <v>113</v>
      </c>
      <c r="B79" s="5">
        <f>B78-B73</f>
        <v>50</v>
      </c>
      <c r="C79" s="10"/>
      <c r="D79" s="10"/>
      <c r="E79" s="12"/>
    </row>
    <row r="80" spans="1:5" x14ac:dyDescent="0.3">
      <c r="A80" s="8" t="s">
        <v>132</v>
      </c>
      <c r="B80" s="5">
        <v>41.8</v>
      </c>
      <c r="C80" s="10"/>
      <c r="D80" s="10"/>
      <c r="E80" s="12"/>
    </row>
    <row r="81" spans="1:5" x14ac:dyDescent="0.3">
      <c r="A81" s="27" t="s">
        <v>133</v>
      </c>
      <c r="B81" s="31">
        <v>142.30000000000001</v>
      </c>
      <c r="C81" s="10"/>
      <c r="D81" s="10"/>
      <c r="E81" s="12"/>
    </row>
    <row r="82" spans="1:5" x14ac:dyDescent="0.3">
      <c r="A82" s="27" t="s">
        <v>120</v>
      </c>
      <c r="B82" s="31">
        <f>B81-B80</f>
        <v>100.50000000000001</v>
      </c>
      <c r="C82" s="10"/>
      <c r="D82" s="10"/>
      <c r="E82" s="12"/>
    </row>
    <row r="83" spans="1:5" x14ac:dyDescent="0.3">
      <c r="A83" s="8" t="s">
        <v>117</v>
      </c>
      <c r="B83" s="5">
        <f>B77/B79</f>
        <v>1.7920000000000005</v>
      </c>
      <c r="C83">
        <f>B82/B79</f>
        <v>2.0100000000000002</v>
      </c>
      <c r="E83" s="12"/>
    </row>
    <row r="84" spans="1:5" ht="15" thickBot="1" x14ac:dyDescent="0.35">
      <c r="A84" s="9" t="s">
        <v>118</v>
      </c>
      <c r="B84" s="32">
        <f>B83*1000</f>
        <v>1792.0000000000005</v>
      </c>
      <c r="C84">
        <f>C83*1000</f>
        <v>2010.0000000000002</v>
      </c>
    </row>
    <row r="86" spans="1:5" x14ac:dyDescent="0.3">
      <c r="A86" s="11" t="s">
        <v>30</v>
      </c>
      <c r="B86" t="s">
        <v>80</v>
      </c>
      <c r="C86" s="10"/>
      <c r="D86" s="10"/>
      <c r="E86" s="10"/>
    </row>
    <row r="87" spans="1:5" ht="15" thickBot="1" x14ac:dyDescent="0.35">
      <c r="C87" s="10"/>
      <c r="D87" s="10"/>
      <c r="E87" s="10"/>
    </row>
    <row r="88" spans="1:5" x14ac:dyDescent="0.3">
      <c r="A88" s="163" t="s">
        <v>107</v>
      </c>
      <c r="B88" s="165"/>
      <c r="C88" s="10"/>
      <c r="D88" s="10"/>
      <c r="E88" s="10"/>
    </row>
    <row r="89" spans="1:5" x14ac:dyDescent="0.3">
      <c r="A89" s="8" t="s">
        <v>112</v>
      </c>
      <c r="B89" s="29">
        <v>200</v>
      </c>
      <c r="C89" s="10"/>
      <c r="D89" s="10"/>
      <c r="E89" s="10"/>
    </row>
    <row r="90" spans="1:5" x14ac:dyDescent="0.3">
      <c r="A90" s="8" t="s">
        <v>108</v>
      </c>
      <c r="B90" s="30">
        <v>153.30000000000001</v>
      </c>
      <c r="C90" s="10"/>
      <c r="D90" s="10"/>
      <c r="E90" s="21"/>
    </row>
    <row r="91" spans="1:5" x14ac:dyDescent="0.3">
      <c r="A91" s="8" t="s">
        <v>110</v>
      </c>
      <c r="B91" s="5">
        <v>359.6</v>
      </c>
      <c r="C91" s="10"/>
      <c r="D91" s="10"/>
      <c r="E91" s="12"/>
    </row>
    <row r="92" spans="1:5" x14ac:dyDescent="0.3">
      <c r="A92" s="8" t="s">
        <v>111</v>
      </c>
      <c r="B92" s="5">
        <v>429</v>
      </c>
      <c r="C92" s="10"/>
      <c r="D92" s="10"/>
      <c r="E92" s="12"/>
    </row>
    <row r="93" spans="1:5" x14ac:dyDescent="0.3">
      <c r="A93" s="8" t="s">
        <v>119</v>
      </c>
      <c r="B93" s="5">
        <f>B92-B91</f>
        <v>69.399999999999977</v>
      </c>
      <c r="C93" s="10"/>
      <c r="D93" s="10"/>
      <c r="E93" s="12"/>
    </row>
    <row r="94" spans="1:5" x14ac:dyDescent="0.3">
      <c r="A94" s="8" t="s">
        <v>114</v>
      </c>
      <c r="B94" s="5">
        <v>250</v>
      </c>
      <c r="C94" s="10"/>
      <c r="D94" s="10"/>
      <c r="E94" s="12"/>
    </row>
    <row r="95" spans="1:5" x14ac:dyDescent="0.3">
      <c r="A95" s="8" t="s">
        <v>113</v>
      </c>
      <c r="B95" s="5">
        <f>B94-B89</f>
        <v>50</v>
      </c>
      <c r="C95" s="10"/>
      <c r="D95" s="10"/>
      <c r="E95" s="12"/>
    </row>
    <row r="96" spans="1:5" x14ac:dyDescent="0.3">
      <c r="A96" s="8" t="s">
        <v>123</v>
      </c>
      <c r="B96" s="5">
        <v>52.1</v>
      </c>
      <c r="C96" s="10"/>
      <c r="D96" s="10"/>
      <c r="E96" s="12"/>
    </row>
    <row r="97" spans="1:5" x14ac:dyDescent="0.3">
      <c r="A97" s="27" t="s">
        <v>124</v>
      </c>
      <c r="B97" s="31">
        <v>129.6</v>
      </c>
      <c r="C97" s="10"/>
      <c r="D97" s="10"/>
      <c r="E97" s="12"/>
    </row>
    <row r="98" spans="1:5" x14ac:dyDescent="0.3">
      <c r="A98" s="27" t="s">
        <v>120</v>
      </c>
      <c r="B98" s="31">
        <f>B97-B96</f>
        <v>77.5</v>
      </c>
      <c r="C98" s="10"/>
      <c r="D98" s="10"/>
      <c r="E98" s="12"/>
    </row>
    <row r="99" spans="1:5" x14ac:dyDescent="0.3">
      <c r="A99" s="8" t="s">
        <v>117</v>
      </c>
      <c r="B99" s="5">
        <f>B93/B95</f>
        <v>1.3879999999999995</v>
      </c>
      <c r="C99">
        <f>B98/B95</f>
        <v>1.55</v>
      </c>
      <c r="E99" s="12"/>
    </row>
    <row r="100" spans="1:5" ht="15" thickBot="1" x14ac:dyDescent="0.35">
      <c r="A100" s="9" t="s">
        <v>118</v>
      </c>
      <c r="B100" s="32">
        <f>B99*1000</f>
        <v>1387.9999999999995</v>
      </c>
      <c r="C100">
        <f>C99*1000</f>
        <v>1550</v>
      </c>
    </row>
    <row r="102" spans="1:5" x14ac:dyDescent="0.3">
      <c r="A102" s="11" t="s">
        <v>81</v>
      </c>
      <c r="B102" t="s">
        <v>82</v>
      </c>
      <c r="C102" s="10"/>
      <c r="D102" s="10"/>
      <c r="E102" s="10"/>
    </row>
    <row r="103" spans="1:5" ht="15" thickBot="1" x14ac:dyDescent="0.35">
      <c r="C103" s="10"/>
      <c r="D103" s="10"/>
      <c r="E103" s="10"/>
    </row>
    <row r="104" spans="1:5" x14ac:dyDescent="0.3">
      <c r="A104" s="163" t="s">
        <v>107</v>
      </c>
      <c r="B104" s="165"/>
      <c r="C104" s="10"/>
      <c r="D104" s="10"/>
      <c r="E104" s="10"/>
    </row>
    <row r="105" spans="1:5" x14ac:dyDescent="0.3">
      <c r="A105" s="8" t="s">
        <v>112</v>
      </c>
      <c r="B105" s="29">
        <v>200</v>
      </c>
      <c r="C105" s="10"/>
      <c r="D105" s="10"/>
      <c r="E105" s="10"/>
    </row>
    <row r="106" spans="1:5" x14ac:dyDescent="0.3">
      <c r="A106" s="8" t="s">
        <v>108</v>
      </c>
      <c r="B106" s="30">
        <v>153.30000000000001</v>
      </c>
      <c r="C106" s="10"/>
      <c r="D106" s="10"/>
      <c r="E106" s="21"/>
    </row>
    <row r="107" spans="1:5" x14ac:dyDescent="0.3">
      <c r="A107" s="8" t="s">
        <v>110</v>
      </c>
      <c r="B107" s="5">
        <v>354.5</v>
      </c>
      <c r="C107" s="10"/>
      <c r="D107" s="10"/>
      <c r="E107" s="12"/>
    </row>
    <row r="108" spans="1:5" x14ac:dyDescent="0.3">
      <c r="A108" s="8" t="s">
        <v>111</v>
      </c>
      <c r="B108" s="5">
        <v>396.5</v>
      </c>
      <c r="C108" s="10"/>
      <c r="D108" s="10"/>
      <c r="E108" s="12"/>
    </row>
    <row r="109" spans="1:5" x14ac:dyDescent="0.3">
      <c r="A109" s="8" t="s">
        <v>119</v>
      </c>
      <c r="B109" s="5">
        <f>B108-B107</f>
        <v>42</v>
      </c>
      <c r="C109" s="10"/>
      <c r="D109" s="10"/>
      <c r="E109" s="12"/>
    </row>
    <row r="110" spans="1:5" x14ac:dyDescent="0.3">
      <c r="A110" s="8" t="s">
        <v>114</v>
      </c>
      <c r="B110" s="5">
        <v>250</v>
      </c>
      <c r="C110" s="10"/>
      <c r="D110" s="10"/>
      <c r="E110" s="12"/>
    </row>
    <row r="111" spans="1:5" x14ac:dyDescent="0.3">
      <c r="A111" s="8" t="s">
        <v>113</v>
      </c>
      <c r="B111" s="5">
        <f>B110-B105</f>
        <v>50</v>
      </c>
      <c r="C111" s="10"/>
      <c r="D111" s="10"/>
      <c r="E111" s="12"/>
    </row>
    <row r="112" spans="1:5" x14ac:dyDescent="0.3">
      <c r="A112" s="8" t="s">
        <v>129</v>
      </c>
      <c r="B112" s="5"/>
      <c r="C112" s="10"/>
      <c r="D112" s="10"/>
      <c r="E112" s="12"/>
    </row>
    <row r="113" spans="1:5" x14ac:dyDescent="0.3">
      <c r="A113" s="27" t="s">
        <v>154</v>
      </c>
      <c r="B113" s="31"/>
      <c r="C113" s="10"/>
      <c r="D113" s="10"/>
      <c r="E113" s="12"/>
    </row>
    <row r="114" spans="1:5" ht="15" thickBot="1" x14ac:dyDescent="0.35">
      <c r="A114" s="27" t="s">
        <v>120</v>
      </c>
      <c r="B114" s="31">
        <v>82.8</v>
      </c>
      <c r="C114" s="10"/>
      <c r="D114" s="10"/>
      <c r="E114" s="12"/>
    </row>
    <row r="115" spans="1:5" x14ac:dyDescent="0.3">
      <c r="A115" s="8" t="s">
        <v>117</v>
      </c>
      <c r="B115" s="5">
        <f>B109/B111</f>
        <v>0.84</v>
      </c>
      <c r="C115" s="33">
        <f>B114/B111</f>
        <v>1.6559999999999999</v>
      </c>
      <c r="E115" s="12"/>
    </row>
    <row r="116" spans="1:5" ht="15" thickBot="1" x14ac:dyDescent="0.35">
      <c r="A116" s="9" t="s">
        <v>118</v>
      </c>
      <c r="B116" s="32">
        <f>B115*1000</f>
        <v>840</v>
      </c>
      <c r="C116" s="34">
        <f>C115*1000</f>
        <v>1656</v>
      </c>
    </row>
    <row r="118" spans="1:5" x14ac:dyDescent="0.3">
      <c r="A118" s="11" t="s">
        <v>84</v>
      </c>
      <c r="B118" t="s">
        <v>83</v>
      </c>
      <c r="C118" s="10"/>
      <c r="D118" s="10"/>
      <c r="E118" s="10"/>
    </row>
    <row r="119" spans="1:5" ht="15" thickBot="1" x14ac:dyDescent="0.35">
      <c r="C119" s="10"/>
      <c r="D119" s="10"/>
      <c r="E119" s="10"/>
    </row>
    <row r="120" spans="1:5" x14ac:dyDescent="0.3">
      <c r="A120" s="163" t="s">
        <v>107</v>
      </c>
      <c r="B120" s="165"/>
      <c r="C120" s="10"/>
      <c r="D120" s="10"/>
      <c r="E120" s="10"/>
    </row>
    <row r="121" spans="1:5" x14ac:dyDescent="0.3">
      <c r="A121" s="8" t="s">
        <v>112</v>
      </c>
      <c r="B121" s="29">
        <v>200</v>
      </c>
      <c r="C121" s="10"/>
      <c r="D121" s="10"/>
      <c r="E121" s="10"/>
    </row>
    <row r="122" spans="1:5" x14ac:dyDescent="0.3">
      <c r="A122" s="8" t="s">
        <v>108</v>
      </c>
      <c r="B122" s="30">
        <v>153.30000000000001</v>
      </c>
      <c r="C122" s="10"/>
      <c r="D122" s="10"/>
      <c r="E122" s="21"/>
    </row>
    <row r="123" spans="1:5" x14ac:dyDescent="0.3">
      <c r="A123" s="8" t="s">
        <v>110</v>
      </c>
      <c r="B123" s="5">
        <v>357.5</v>
      </c>
      <c r="C123" s="10"/>
      <c r="D123" s="10"/>
      <c r="E123" s="12"/>
    </row>
    <row r="124" spans="1:5" x14ac:dyDescent="0.3">
      <c r="A124" s="8" t="s">
        <v>111</v>
      </c>
      <c r="B124" s="5">
        <v>430.5</v>
      </c>
      <c r="C124" s="10"/>
      <c r="D124" s="10"/>
      <c r="E124" s="12"/>
    </row>
    <row r="125" spans="1:5" x14ac:dyDescent="0.3">
      <c r="A125" s="8" t="s">
        <v>119</v>
      </c>
      <c r="B125" s="5">
        <f>B124-B123</f>
        <v>73</v>
      </c>
      <c r="C125" s="10"/>
      <c r="D125" s="10"/>
      <c r="E125" s="12"/>
    </row>
    <row r="126" spans="1:5" x14ac:dyDescent="0.3">
      <c r="A126" s="8" t="s">
        <v>114</v>
      </c>
      <c r="B126" s="5">
        <v>250</v>
      </c>
      <c r="C126" s="10"/>
      <c r="D126" s="10"/>
      <c r="E126" s="12"/>
    </row>
    <row r="127" spans="1:5" x14ac:dyDescent="0.3">
      <c r="A127" s="8" t="s">
        <v>113</v>
      </c>
      <c r="B127" s="5">
        <f>B126-B121</f>
        <v>50</v>
      </c>
      <c r="C127" s="10"/>
      <c r="D127" s="10"/>
      <c r="E127" s="12"/>
    </row>
    <row r="128" spans="1:5" x14ac:dyDescent="0.3">
      <c r="A128" s="8" t="s">
        <v>122</v>
      </c>
      <c r="B128" s="5">
        <v>34.200000000000003</v>
      </c>
      <c r="C128" s="10"/>
      <c r="D128" s="10"/>
      <c r="E128" s="12"/>
    </row>
    <row r="129" spans="1:5" x14ac:dyDescent="0.3">
      <c r="A129" s="27" t="s">
        <v>121</v>
      </c>
      <c r="B129" s="31">
        <v>120.3</v>
      </c>
      <c r="C129" s="10"/>
      <c r="D129" s="10"/>
      <c r="E129" s="12"/>
    </row>
    <row r="130" spans="1:5" x14ac:dyDescent="0.3">
      <c r="A130" s="27" t="s">
        <v>120</v>
      </c>
      <c r="B130" s="31">
        <f>B129-B128</f>
        <v>86.1</v>
      </c>
      <c r="C130" s="10"/>
      <c r="D130" s="10"/>
      <c r="E130" s="12"/>
    </row>
    <row r="131" spans="1:5" x14ac:dyDescent="0.3">
      <c r="A131" s="8" t="s">
        <v>117</v>
      </c>
      <c r="B131" s="5">
        <f>B125/B127</f>
        <v>1.46</v>
      </c>
      <c r="C131">
        <f>B130/B127</f>
        <v>1.722</v>
      </c>
      <c r="E131" s="12"/>
    </row>
    <row r="132" spans="1:5" ht="15" thickBot="1" x14ac:dyDescent="0.35">
      <c r="A132" s="9" t="s">
        <v>118</v>
      </c>
      <c r="B132" s="32">
        <f>B131*1000</f>
        <v>1460</v>
      </c>
      <c r="C132">
        <f>C131*1000</f>
        <v>1722</v>
      </c>
    </row>
  </sheetData>
  <mergeCells count="10">
    <mergeCell ref="A72:B72"/>
    <mergeCell ref="A88:B88"/>
    <mergeCell ref="A104:B104"/>
    <mergeCell ref="A120:B120"/>
    <mergeCell ref="B3:E3"/>
    <mergeCell ref="B4:E4"/>
    <mergeCell ref="A8:B8"/>
    <mergeCell ref="A24:B24"/>
    <mergeCell ref="A40:B40"/>
    <mergeCell ref="A56:B56"/>
  </mergeCells>
  <pageMargins left="0.7" right="0.7" top="0.75" bottom="0.75" header="0.3" footer="0.3"/>
  <pageSetup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/>
  <dimension ref="A4:E16"/>
  <sheetViews>
    <sheetView workbookViewId="0">
      <selection activeCell="A31" sqref="A31"/>
    </sheetView>
  </sheetViews>
  <sheetFormatPr defaultRowHeight="14.4" x14ac:dyDescent="0.3"/>
  <cols>
    <col min="1" max="1" width="26.109375" customWidth="1"/>
    <col min="2" max="2" width="18.5546875" customWidth="1"/>
  </cols>
  <sheetData>
    <row r="4" spans="1:5" ht="62.4" customHeight="1" x14ac:dyDescent="0.3">
      <c r="A4" s="14" t="s">
        <v>0</v>
      </c>
      <c r="B4" s="168" t="s">
        <v>57</v>
      </c>
      <c r="C4" s="168"/>
      <c r="D4" s="168"/>
      <c r="E4" s="168"/>
    </row>
    <row r="5" spans="1:5" x14ac:dyDescent="0.3">
      <c r="A5" s="15" t="s">
        <v>159</v>
      </c>
      <c r="B5" s="169" t="s">
        <v>162</v>
      </c>
      <c r="C5" s="170"/>
      <c r="D5" s="170"/>
      <c r="E5" s="171"/>
    </row>
    <row r="6" spans="1:5" x14ac:dyDescent="0.3">
      <c r="B6" s="10"/>
      <c r="C6" s="10"/>
      <c r="D6" s="10"/>
      <c r="E6" s="10"/>
    </row>
    <row r="7" spans="1:5" x14ac:dyDescent="0.3">
      <c r="A7" t="s">
        <v>161</v>
      </c>
    </row>
    <row r="8" spans="1:5" ht="28.8" x14ac:dyDescent="0.3">
      <c r="A8" s="37" t="s">
        <v>158</v>
      </c>
      <c r="B8" s="38" t="s">
        <v>160</v>
      </c>
    </row>
    <row r="9" spans="1:5" x14ac:dyDescent="0.3">
      <c r="A9" s="2" t="s">
        <v>80</v>
      </c>
      <c r="B9" s="22">
        <v>2.6</v>
      </c>
    </row>
    <row r="10" spans="1:5" x14ac:dyDescent="0.3">
      <c r="A10" s="2" t="s">
        <v>82</v>
      </c>
      <c r="B10" s="22">
        <v>5.7</v>
      </c>
    </row>
    <row r="11" spans="1:5" x14ac:dyDescent="0.3">
      <c r="A11" s="2" t="s">
        <v>83</v>
      </c>
      <c r="B11" s="22">
        <v>4.2</v>
      </c>
    </row>
    <row r="12" spans="1:5" x14ac:dyDescent="0.3">
      <c r="A12" s="2" t="s">
        <v>58</v>
      </c>
      <c r="B12" s="22">
        <v>8</v>
      </c>
    </row>
    <row r="13" spans="1:5" x14ac:dyDescent="0.3">
      <c r="A13" s="2" t="s">
        <v>67</v>
      </c>
      <c r="B13" s="22">
        <v>8.6999999999999993</v>
      </c>
    </row>
    <row r="14" spans="1:5" x14ac:dyDescent="0.3">
      <c r="A14" s="2" t="s">
        <v>17</v>
      </c>
      <c r="B14" s="22">
        <v>3.7</v>
      </c>
    </row>
    <row r="15" spans="1:5" x14ac:dyDescent="0.3">
      <c r="A15" s="2" t="s">
        <v>2</v>
      </c>
      <c r="B15" s="22">
        <v>7.5</v>
      </c>
    </row>
    <row r="16" spans="1:5" x14ac:dyDescent="0.3">
      <c r="A16" s="2" t="s">
        <v>22</v>
      </c>
      <c r="B16" s="22">
        <v>8.9</v>
      </c>
    </row>
  </sheetData>
  <mergeCells count="2">
    <mergeCell ref="B4:E4"/>
    <mergeCell ref="B5:E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19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8</vt:i4>
      </vt:variant>
    </vt:vector>
  </HeadingPairs>
  <TitlesOfParts>
    <vt:vector size="28" baseType="lpstr">
      <vt:lpstr>Summary</vt:lpstr>
      <vt:lpstr>Gravemetric Moisture Content</vt:lpstr>
      <vt:lpstr>Gravemetric Moisture Cont. (2)</vt:lpstr>
      <vt:lpstr>Clay or Silt Content</vt:lpstr>
      <vt:lpstr>Specific Gravity Tests</vt:lpstr>
      <vt:lpstr>Organic Content</vt:lpstr>
      <vt:lpstr>Dry Density</vt:lpstr>
      <vt:lpstr>Bulk Density</vt:lpstr>
      <vt:lpstr>Slump</vt:lpstr>
      <vt:lpstr>Atterberg Limits</vt:lpstr>
      <vt:lpstr>Sieve Analysis</vt:lpstr>
      <vt:lpstr>Hydrometer Analysis_MB1</vt:lpstr>
      <vt:lpstr>Hydrometer Analysis_MB2</vt:lpstr>
      <vt:lpstr>Hydrometer Analysis_MB3</vt:lpstr>
      <vt:lpstr>Hydrometer Analysis_MB4</vt:lpstr>
      <vt:lpstr>Hydrometer Analysis_MB5</vt:lpstr>
      <vt:lpstr>Hydrometer Analysis_MB6</vt:lpstr>
      <vt:lpstr>Hydrometer Analysis_MB7</vt:lpstr>
      <vt:lpstr>Hydrometer Analysis_MB8</vt:lpstr>
      <vt:lpstr>Summary Chart</vt:lpstr>
      <vt:lpstr>'Hydrometer Analysis_MB1'!Print_Area</vt:lpstr>
      <vt:lpstr>'Hydrometer Analysis_MB2'!Print_Area</vt:lpstr>
      <vt:lpstr>'Hydrometer Analysis_MB3'!Print_Area</vt:lpstr>
      <vt:lpstr>'Hydrometer Analysis_MB4'!Print_Area</vt:lpstr>
      <vt:lpstr>'Hydrometer Analysis_MB5'!Print_Area</vt:lpstr>
      <vt:lpstr>'Hydrometer Analysis_MB6'!Print_Area</vt:lpstr>
      <vt:lpstr>'Hydrometer Analysis_MB7'!Print_Area</vt:lpstr>
      <vt:lpstr>'Hydrometer Analysis_MB8'!Print_Area</vt:lpstr>
    </vt:vector>
  </TitlesOfParts>
  <Company>UNESCO-IHE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Üwe Best</dc:creator>
  <cp:lastModifiedBy>Üwe Best</cp:lastModifiedBy>
  <dcterms:created xsi:type="dcterms:W3CDTF">2019-12-09T04:42:44Z</dcterms:created>
  <dcterms:modified xsi:type="dcterms:W3CDTF">2022-01-11T01:01:42Z</dcterms:modified>
</cp:coreProperties>
</file>